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CBcTYY51oa9nCJYb6wYy/DXQBQ2IFn0dKIS1LQQ+rn1PVmQmpkmiK4lV2/KkWVoBw5Ta2Db1TL69dwtnOZuKEQ==" workbookSaltValue="zjN5jvXd2WP1QXVZMbnO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BG10" i="8"/>
  <c r="H10" i="2"/>
  <c r="T9" i="11"/>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<sst xmlns="http://schemas.openxmlformats.org/spreadsheetml/2006/main" count="2088" uniqueCount="918">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</sst>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JiVsuGVBzpUAkeefeH7vnPtDE9hnVeO/RrjRQuVaAFKJhs6FZ1CsU6e0T96b38raaU+eROKiu95s+MycnSg1g==" saltValue="2EmRowWDi9z+u1AxTELZ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33.489648033126294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152</v>
      </c>
      <c r="D10" s="225">
        <f>IF(ISNUMBER(Datos!I10),Datos!I10," - ")</f>
        <v>152</v>
      </c>
      <c r="E10" s="226">
        <f>IF(ISNUMBER(Datos!J10),Datos!J10," - ")</f>
        <v>67</v>
      </c>
      <c r="F10" s="226">
        <f>IF(ISNUMBER(Datos!K10),Datos!K10," - ")</f>
        <v>41</v>
      </c>
      <c r="G10" s="1034" t="str">
        <f>IF(Datos!E10&lt;&gt;"",Datos!E10,Datos!D10)</f>
        <v>37</v>
      </c>
      <c r="H10" s="227">
        <f>IF(ISNUMBER(Datos!L10),Datos!L10," - ")</f>
        <v>178</v>
      </c>
      <c r="I10" s="1044" t="str">
        <f>IF(ISNUMBER(Datos!AS10/Datos!BM10),Datos!AS10/Datos!BM10," - ")</f>
        <v xml:space="preserve"> - </v>
      </c>
      <c r="J10" s="1045">
        <f>IF(ISNUMBER(Datos!BY10/Datos!CN10),Datos!BY10/Datos!CN10," - ")</f>
        <v>0</v>
      </c>
      <c r="K10" s="230">
        <f t="shared" ref="K10:K12" si="1">IF(ISNUMBER((E10-F10)/C10),(E10-F10)/C10," - ")</f>
        <v>0.17105263157894737</v>
      </c>
      <c r="L10" s="1025">
        <f>IF(ISNUMBER(NºAsuntos!I10/NºAsuntos!G10),(NºAsuntos!I10/NºAsuntos!G10)*11," - ")</f>
        <v>47.756097560975611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21.48577235772358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152</v>
      </c>
      <c r="D13" s="1049">
        <f>SUBTOTAL(9,D9:D12)</f>
        <v>152</v>
      </c>
      <c r="E13" s="1050">
        <f>SUBTOTAL(9,E9:E12)</f>
        <v>67</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6932</v>
      </c>
      <c r="D15" s="225">
        <f>IF(ISNUMBER(IF(D_I="SI",Datos!I15,Datos!I15+Datos!AC15)),IF(D_I="SI",Datos!I15,Datos!I15+Datos!AC15)," - ")</f>
        <v>6916</v>
      </c>
      <c r="E15" s="226">
        <f>IF(ISNUMBER(IF(D_I="SI",Datos!J15,Datos!J15+Datos!AD15)),IF(D_I="SI",Datos!J15,Datos!J15+Datos!AD15)," - ")</f>
        <v>4442</v>
      </c>
      <c r="F15" s="226">
        <f>IF(ISNUMBER(IF(D_I="SI",Datos!K15,Datos!K15+Datos!AE15)),IF(D_I="SI",Datos!K15,Datos!K15+Datos!AE15)," - ")</f>
        <v>3646</v>
      </c>
      <c r="G15" s="1034" t="str">
        <f>IF(Datos!E15&lt;&gt;"",Datos!E15,Datos!D15)</f>
        <v>03</v>
      </c>
      <c r="H15" s="227">
        <f>IF(ISNUMBER(IF(D_I="SI",Datos!L15,Datos!L15+Datos!AF15)),IF(D_I="SI",Datos!L15,Datos!L15+Datos!AF15)," - ")</f>
        <v>7728</v>
      </c>
      <c r="I15" s="1044" t="str">
        <f>IF(ISNUMBER(Datos!AS15/Datos!BM15),Datos!AS15/Datos!BM15," - ")</f>
        <v xml:space="preserve"> - </v>
      </c>
      <c r="J15" s="1045">
        <f>IF(ISNUMBER(Datos!BY15/Datos!CN15),Datos!BY15/Datos!CN15," - ")</f>
        <v>0</v>
      </c>
      <c r="K15" s="230">
        <f t="shared" ref="K15:K17" si="3">IF(ISNUMBER((E15-F15)/C15),(E15-F15)/C15," - ")</f>
        <v>0.11482977495672245</v>
      </c>
      <c r="L15" s="1025">
        <f>IF(ISNUMBER(NºAsuntos!I15/NºAsuntos!G15),(NºAsuntos!I15/NºAsuntos!G15)*11," - ")</f>
        <v>23.315414152495887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279</v>
      </c>
      <c r="D17" s="225">
        <f>IF(ISNUMBER(IF(D_I="SI",Datos!I17,Datos!I17+Datos!AC17)),IF(D_I="SI",Datos!I17,Datos!I17+Datos!AC17)," - ")</f>
        <v>275</v>
      </c>
      <c r="E17" s="226">
        <f>IF(ISNUMBER(IF(D_I="SI",Datos!J17,Datos!J17+Datos!AD17)),IF(D_I="SI",Datos!J17,Datos!J17+Datos!AD17)," - ")</f>
        <v>288</v>
      </c>
      <c r="F17" s="226">
        <f>IF(ISNUMBER(IF(D_I="SI",Datos!K17,Datos!K17+Datos!AE17)),IF(D_I="SI",Datos!K17,Datos!K17+Datos!AE17)," - ")</f>
        <v>212</v>
      </c>
      <c r="G17" s="1034" t="str">
        <f>IF(Datos!E17&lt;&gt;"",Datos!E17,Datos!D17)</f>
        <v>37</v>
      </c>
      <c r="H17" s="227">
        <f>IF(ISNUMBER(IF(D_I="SI",Datos!L17,Datos!L17+Datos!AF17)),IF(D_I="SI",Datos!L17,Datos!L17+Datos!AF17)," - ")</f>
        <v>355</v>
      </c>
      <c r="I17" s="1044" t="str">
        <f>IF(ISNUMBER(Datos!AS17/Datos!BM17),Datos!AS17/Datos!BM17," - ")</f>
        <v xml:space="preserve"> - </v>
      </c>
      <c r="J17" s="1045" t="str">
        <f>IF(ISNUMBER((Datos!BY17+Datos!BZ17)/Datos!CN17),(Datos!BY17+Datos!BZ17)/Datos!CN17," - ")</f>
        <v xml:space="preserve"> - </v>
      </c>
      <c r="K17" s="230">
        <f t="shared" si="3"/>
        <v>0.27240143369175629</v>
      </c>
      <c r="L17" s="1025">
        <f>IF(ISNUMBER(NºAsuntos!I17/NºAsuntos!G17),(NºAsuntos!I17/NºAsuntos!G17)*11," - ")</f>
        <v>18.419811320754718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7211</v>
      </c>
      <c r="D18" s="1049">
        <f>SUBTOTAL(9,D15:D17)</f>
        <v>7191</v>
      </c>
      <c r="E18" s="1050">
        <f>SUBTOTAL(9,E15:E17)</f>
        <v>4730</v>
      </c>
      <c r="F18" s="1050">
        <f>SUBTOTAL(9,F15:F17)</f>
        <v>3858</v>
      </c>
      <c r="G18" s="1052" t="str">
        <f ca="1">INDIRECT(CONCATENATE("G",ROW()-1))</f>
        <v>37</v>
      </c>
      <c r="H18" s="1053">
        <f ca="1">SUMIF(G$14:G17,G18,H$14:H17)</f>
        <v>355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7363</v>
      </c>
      <c r="D19" s="1071">
        <f>SUBTOTAL(9,D9:D18)</f>
        <v>7343</v>
      </c>
      <c r="E19" s="1072">
        <f>SUBTOTAL(9,E9:E18)</f>
        <v>4797</v>
      </c>
      <c r="F19" s="1072">
        <f>SUBTOTAL(9,F9:F18)</f>
        <v>3899</v>
      </c>
      <c r="G19" s="1073"/>
      <c r="H19" s="1074">
        <f ca="1">SUMIF(B9:B18,"TOTAL",H9:H18)</f>
        <v>355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43l3tiI/lOiZ/qT0D0+3WYu8MurMQ4oTzDFCNNwzDCWuIBRsizZzGRaBB4Wu7Dkv8jQpkElY1I7c1RxHtW4+g==" saltValue="1vVfxXD+7/Z8KLYG6E30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opodAt8u73NKHmmoiX3Zv+aFK7qpSas2VQVIut3bwGHoVdCDp4J7eXOTL3FgunrAzx5X3Mqxm/1Fi39jevVww==" saltValue="imTXaxPtU3zNa3oL1SMx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8732</v>
      </c>
      <c r="J9" s="181">
        <v>2798</v>
      </c>
      <c r="K9" s="181">
        <v>2817</v>
      </c>
      <c r="L9" s="181">
        <v>8713</v>
      </c>
      <c r="M9" s="181">
        <v>644</v>
      </c>
      <c r="N9" s="181">
        <v>1284</v>
      </c>
      <c r="O9" s="181">
        <v>1344</v>
      </c>
      <c r="P9" s="181">
        <v>1756</v>
      </c>
      <c r="Q9" s="181">
        <v>908</v>
      </c>
      <c r="R9" s="181">
        <v>15980</v>
      </c>
      <c r="S9" s="181">
        <v>8425</v>
      </c>
      <c r="T9" s="181">
        <v>3280</v>
      </c>
      <c r="U9" s="181">
        <v>2671</v>
      </c>
      <c r="V9" s="181">
        <v>9048</v>
      </c>
      <c r="W9" s="181">
        <v>569</v>
      </c>
      <c r="X9" s="188">
        <v>1253</v>
      </c>
      <c r="Y9" s="191">
        <v>136</v>
      </c>
      <c r="Z9" s="181">
        <v>55</v>
      </c>
      <c r="AA9" s="181">
        <v>81</v>
      </c>
      <c r="AB9" s="181">
        <v>110</v>
      </c>
      <c r="AC9" s="181">
        <v>0</v>
      </c>
      <c r="AD9" s="181">
        <v>0</v>
      </c>
      <c r="AE9" s="181">
        <v>0</v>
      </c>
      <c r="AF9" s="188">
        <v>0</v>
      </c>
      <c r="AG9" s="191">
        <v>83</v>
      </c>
      <c r="AH9" s="181">
        <v>104</v>
      </c>
      <c r="AI9" s="181">
        <v>93</v>
      </c>
      <c r="AJ9" s="192">
        <v>103</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8508</v>
      </c>
      <c r="AZ9" s="123">
        <f>IF(ISNUMBER(IF(J_V="SI",T9,T9+AH9)),IF(J_V="SI",T9,T9+AH9)," - ")</f>
        <v>3384</v>
      </c>
      <c r="BA9" s="124">
        <f>IF(ISNUMBER(IF(J_V="SI",U9,U9+AI9)),IF(J_V="SI",U9,U9+AI9)," - ")</f>
        <v>2764</v>
      </c>
      <c r="BB9" s="124">
        <f>IF(ISNUMBER(IF(J_V="SI",V9,V9+AJ9)),IF(J_V="SI",V9,V9+AJ9)," - ")</f>
        <v>9151</v>
      </c>
      <c r="BC9" s="125">
        <f>IF(ISNUMBER(X9),X9," - ")</f>
        <v>1253</v>
      </c>
      <c r="BD9" s="126">
        <f>IF(ISNUMBER(BA9/AZ9),BA9/AZ9," - ")</f>
        <v>0.81678486997635935</v>
      </c>
      <c r="BE9" s="127">
        <f>IF(ISNUMBER(BB9/BA9),BB9/BA9, " - ")</f>
        <v>3.310781476121563</v>
      </c>
      <c r="BF9" s="127">
        <f>IF(ISNUMBER(BC9/BA9),BC9/BA9, " - ")</f>
        <v>0.45332850940665703</v>
      </c>
      <c r="BG9" s="196">
        <f>IF(ISNUMBER((AY9+AZ9)/BA9),(AY9+AZ9)/BA9," - ")</f>
        <v>4.3024602026049203</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152</v>
      </c>
      <c r="J10" s="181">
        <v>67</v>
      </c>
      <c r="K10" s="181">
        <v>41</v>
      </c>
      <c r="L10" s="181">
        <v>178</v>
      </c>
      <c r="M10" s="181">
        <v>6</v>
      </c>
      <c r="N10" s="181">
        <v>10</v>
      </c>
      <c r="O10" s="181">
        <v>19</v>
      </c>
      <c r="P10" s="181">
        <v>13</v>
      </c>
      <c r="Q10" s="181">
        <v>7</v>
      </c>
      <c r="R10" s="181">
        <v>109</v>
      </c>
      <c r="S10" s="181">
        <v>63</v>
      </c>
      <c r="T10" s="181">
        <v>37</v>
      </c>
      <c r="U10" s="181">
        <v>22</v>
      </c>
      <c r="V10" s="181">
        <v>78</v>
      </c>
      <c r="W10" s="181">
        <v>11</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63</v>
      </c>
      <c r="AZ10" s="129">
        <f t="shared" si="0"/>
        <v>37</v>
      </c>
      <c r="BA10" s="129">
        <f t="shared" si="0"/>
        <v>22</v>
      </c>
      <c r="BB10" s="129">
        <f t="shared" si="0"/>
        <v>78</v>
      </c>
      <c r="BC10" s="125">
        <f t="shared" si="0"/>
        <v>11</v>
      </c>
      <c r="BD10" s="126">
        <f>IF(ISNUMBER(BA10/AZ10),BA10/AZ10," - ")</f>
        <v>0.59459459459459463</v>
      </c>
      <c r="BE10" s="127">
        <f>IF(ISNUMBER(BB10/BA10),BB10/BA10, " - ")</f>
        <v>3.5454545454545454</v>
      </c>
      <c r="BF10" s="127">
        <f>IF(ISNUMBER(BC10/BA10),BC10/BA10, " - ")</f>
        <v>0.5</v>
      </c>
      <c r="BG10" s="196">
        <f>IF(ISNUMBER((AY10+AZ10)/BA10),(AY10+AZ10)/BA10," - ")</f>
        <v>4.5454545454545459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864</v>
      </c>
      <c r="J11" s="183">
        <v>418</v>
      </c>
      <c r="K11" s="183">
        <v>367</v>
      </c>
      <c r="L11" s="183">
        <v>835</v>
      </c>
      <c r="M11" s="183">
        <v>101</v>
      </c>
      <c r="N11" s="183">
        <v>258</v>
      </c>
      <c r="O11" s="181">
        <v>119</v>
      </c>
      <c r="P11" s="183">
        <v>62</v>
      </c>
      <c r="Q11" s="183">
        <v>47</v>
      </c>
      <c r="R11" s="183">
        <v>753</v>
      </c>
      <c r="S11" s="183">
        <v>1113</v>
      </c>
      <c r="T11" s="183">
        <v>392</v>
      </c>
      <c r="U11" s="183">
        <v>335</v>
      </c>
      <c r="V11" s="183">
        <v>1170</v>
      </c>
      <c r="W11" s="183">
        <v>73</v>
      </c>
      <c r="X11" s="189">
        <v>293</v>
      </c>
      <c r="Y11" s="191">
        <v>107</v>
      </c>
      <c r="Z11" s="181">
        <v>144</v>
      </c>
      <c r="AA11" s="181">
        <v>125</v>
      </c>
      <c r="AB11" s="181">
        <v>126</v>
      </c>
      <c r="AC11" s="183">
        <v>0</v>
      </c>
      <c r="AD11" s="183">
        <v>0</v>
      </c>
      <c r="AE11" s="183">
        <v>0</v>
      </c>
      <c r="AF11" s="189">
        <v>0</v>
      </c>
      <c r="AG11" s="202">
        <v>155</v>
      </c>
      <c r="AH11" s="183">
        <v>121</v>
      </c>
      <c r="AI11" s="183">
        <v>215</v>
      </c>
      <c r="AJ11" s="203">
        <v>61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1268</v>
      </c>
      <c r="AZ11" s="127">
        <f t="shared" si="1"/>
        <v>513</v>
      </c>
      <c r="BA11" s="127">
        <f t="shared" si="1"/>
        <v>550</v>
      </c>
      <c r="BB11" s="127">
        <f t="shared" si="1"/>
        <v>1231</v>
      </c>
      <c r="BC11" s="125">
        <f>IF(ISNUMBER(X11),X11," - ")</f>
        <v>293</v>
      </c>
      <c r="BD11" s="126">
        <f t="shared" ref="BD11:BD12" si="2">IF(ISNUMBER(BA11/AZ11),BA11/AZ11," - ")</f>
        <v>1.0721247563352827</v>
      </c>
      <c r="BE11" s="127">
        <f t="shared" ref="BE11:BE12" si="3">IF(ISNUMBER(BB11/BA11),BB11/BA11, " - ")</f>
        <v>2.2381818181818183</v>
      </c>
      <c r="BF11" s="127">
        <f t="shared" ref="BF11:BF12" si="4">IF(ISNUMBER(BC11/BA11),BC11/BA11, " - ")</f>
        <v>0.53272727272727272</v>
      </c>
      <c r="BG11" s="196">
        <f t="shared" ref="BG11:BG12" si="5">IF(ISNUMBER((AY11+AZ11)/BA11),(AY11+AZ11)/BA11," - ")</f>
        <v>3.2381818181818183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9748</v>
      </c>
      <c r="J13" s="184">
        <f t="shared" si="6"/>
        <v>3283</v>
      </c>
      <c r="K13" s="184">
        <f t="shared" si="6"/>
        <v>3225</v>
      </c>
      <c r="L13" s="184">
        <f t="shared" si="6"/>
        <v>9726</v>
      </c>
      <c r="M13" s="184">
        <f t="shared" si="6"/>
        <v>751</v>
      </c>
      <c r="N13" s="184">
        <f t="shared" si="6"/>
        <v>1552</v>
      </c>
      <c r="O13" s="184">
        <f t="shared" si="6"/>
        <v>1482</v>
      </c>
      <c r="P13" s="184">
        <f t="shared" si="6"/>
        <v>1831</v>
      </c>
      <c r="Q13" s="184">
        <f t="shared" si="6"/>
        <v>962</v>
      </c>
      <c r="R13" s="184">
        <f t="shared" si="6"/>
        <v>16842</v>
      </c>
      <c r="S13" s="184">
        <f t="shared" si="6"/>
        <v>9601</v>
      </c>
      <c r="T13" s="184">
        <f t="shared" si="6"/>
        <v>3709</v>
      </c>
      <c r="U13" s="184">
        <f t="shared" si="6"/>
        <v>3028</v>
      </c>
      <c r="V13" s="184">
        <f t="shared" si="6"/>
        <v>10296</v>
      </c>
      <c r="W13" s="184">
        <f t="shared" si="6"/>
        <v>653</v>
      </c>
      <c r="X13" s="184">
        <f t="shared" si="6"/>
        <v>1556</v>
      </c>
      <c r="Y13" s="184">
        <f t="shared" si="6"/>
        <v>243</v>
      </c>
      <c r="Z13" s="184">
        <f t="shared" si="6"/>
        <v>199</v>
      </c>
      <c r="AA13" s="184">
        <f t="shared" si="6"/>
        <v>206</v>
      </c>
      <c r="AB13" s="184">
        <f t="shared" si="6"/>
        <v>236</v>
      </c>
      <c r="AC13" s="184">
        <f t="shared" si="6"/>
        <v>0</v>
      </c>
      <c r="AD13" s="184">
        <f t="shared" si="6"/>
        <v>0</v>
      </c>
      <c r="AE13" s="184">
        <f t="shared" si="6"/>
        <v>0</v>
      </c>
      <c r="AF13" s="184">
        <f>SUBTOTAL(9,AF9:AF12)</f>
        <v>0</v>
      </c>
      <c r="AG13" s="184">
        <f t="shared" ref="AG13:AT13" si="7">SUBTOTAL(9,AG8:AG12)</f>
        <v>238</v>
      </c>
      <c r="AH13" s="184">
        <f t="shared" si="7"/>
        <v>225</v>
      </c>
      <c r="AI13" s="184">
        <f t="shared" si="7"/>
        <v>308</v>
      </c>
      <c r="AJ13" s="184">
        <f t="shared" si="7"/>
        <v>164</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9839</v>
      </c>
      <c r="AZ13" s="184">
        <f>SUBTOTAL(9,AZ8:AZ12)</f>
        <v>3934</v>
      </c>
      <c r="BA13" s="184">
        <f>SUBTOTAL(9,BA8:BA12)</f>
        <v>3336</v>
      </c>
      <c r="BB13" s="184">
        <f>SUBTOTAL(9,BB8:BB12)</f>
        <v>10460</v>
      </c>
      <c r="BC13" s="184">
        <f>SUBTOTAL(9,BC8:BC12)</f>
        <v>1557</v>
      </c>
      <c r="BD13" s="205">
        <f>IF(ISNUMBER(BA13/AZ13),BA13/AZ13," - ")</f>
        <v>0.84799186578546004</v>
      </c>
      <c r="BE13" s="206">
        <f>IF(ISNUMBER(BB13/BA13),BB13/BA13, " - ")</f>
        <v>3.1354916067146283</v>
      </c>
      <c r="BF13" s="206">
        <f>IF(ISNUMBER(BC13/BA13),BC13/BA13, " - ")</f>
        <v>0.46672661870503596</v>
      </c>
      <c r="BG13" s="207">
        <f>IF(ISNUMBER((AY13+AZ13)/BA13),(AY13+AZ13)/BA13," - ")</f>
        <v>4.1285971223021587</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6916</v>
      </c>
      <c r="J15" s="183">
        <v>4442</v>
      </c>
      <c r="K15" s="183">
        <v>3646</v>
      </c>
      <c r="L15" s="183">
        <v>7728</v>
      </c>
      <c r="M15" s="183">
        <v>377</v>
      </c>
      <c r="N15" s="183">
        <v>2300</v>
      </c>
      <c r="O15" s="181">
        <v>61</v>
      </c>
      <c r="P15" s="183">
        <v>67</v>
      </c>
      <c r="Q15" s="183">
        <v>69</v>
      </c>
      <c r="R15" s="183">
        <v>365</v>
      </c>
      <c r="S15" s="183">
        <v>6440</v>
      </c>
      <c r="T15" s="183">
        <v>3823</v>
      </c>
      <c r="U15" s="183">
        <v>3637</v>
      </c>
      <c r="V15" s="183">
        <v>6639</v>
      </c>
      <c r="W15" s="183">
        <v>342</v>
      </c>
      <c r="X15" s="189">
        <v>2363</v>
      </c>
      <c r="Y15" s="202">
        <v>0</v>
      </c>
      <c r="Z15" s="183">
        <v>0</v>
      </c>
      <c r="AA15" s="183">
        <v>0</v>
      </c>
      <c r="AB15" s="183">
        <v>0</v>
      </c>
      <c r="AC15" s="183">
        <v>6</v>
      </c>
      <c r="AD15" s="183">
        <v>153</v>
      </c>
      <c r="AE15" s="183">
        <v>157</v>
      </c>
      <c r="AF15" s="189">
        <v>2</v>
      </c>
      <c r="AG15" s="202">
        <v>0</v>
      </c>
      <c r="AH15" s="183">
        <v>0</v>
      </c>
      <c r="AI15" s="183">
        <v>0</v>
      </c>
      <c r="AJ15" s="203">
        <v>0</v>
      </c>
      <c r="AK15" s="182">
        <v>0</v>
      </c>
      <c r="AL15" s="183">
        <v>159</v>
      </c>
      <c r="AM15" s="183">
        <v>159</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6440</v>
      </c>
      <c r="AZ15" s="129">
        <f t="shared" si="9"/>
        <v>3823</v>
      </c>
      <c r="BA15" s="129">
        <f t="shared" si="9"/>
        <v>3637</v>
      </c>
      <c r="BB15" s="129">
        <f t="shared" si="9"/>
        <v>6639</v>
      </c>
      <c r="BC15" s="125">
        <f>IF(ISNUMBER(W15),W15," - ")</f>
        <v>342</v>
      </c>
      <c r="BD15" s="126">
        <f>IF(ISNUMBER(BA15/AZ15),BA15/AZ15," - ")</f>
        <v>0.95134710959979074</v>
      </c>
      <c r="BE15" s="127">
        <f>IF(ISNUMBER(BB15/BA15),BB15/BA15, " - ")</f>
        <v>1.8254055540280452</v>
      </c>
      <c r="BF15" s="127">
        <f>IF(ISNUMBER(BC15/BA15),BC15/BA15, " - ")</f>
        <v>9.4033544129777283E-2</v>
      </c>
      <c r="BG15" s="196">
        <f t="shared" ref="BG15:BG16" si="10">IF(ISNUMBER((AY15+AZ15)/BA15),(AY15+AZ15)/BA15," - ")</f>
        <v>2.82183117954358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275</v>
      </c>
      <c r="J17" s="183">
        <v>288</v>
      </c>
      <c r="K17" s="183">
        <v>212</v>
      </c>
      <c r="L17" s="183">
        <v>355</v>
      </c>
      <c r="M17" s="183">
        <v>28</v>
      </c>
      <c r="N17" s="183">
        <v>155</v>
      </c>
      <c r="O17" s="183">
        <v>0</v>
      </c>
      <c r="P17" s="183">
        <v>3</v>
      </c>
      <c r="Q17" s="183">
        <v>0</v>
      </c>
      <c r="R17" s="183">
        <v>10</v>
      </c>
      <c r="S17" s="183">
        <v>94</v>
      </c>
      <c r="T17" s="183">
        <v>328</v>
      </c>
      <c r="U17" s="183">
        <v>291</v>
      </c>
      <c r="V17" s="183">
        <v>131</v>
      </c>
      <c r="W17" s="183">
        <v>22</v>
      </c>
      <c r="X17" s="189">
        <v>184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94</v>
      </c>
      <c r="AZ17" s="129">
        <f t="shared" si="14"/>
        <v>328</v>
      </c>
      <c r="BA17" s="129">
        <f t="shared" si="14"/>
        <v>291</v>
      </c>
      <c r="BB17" s="129">
        <f t="shared" si="14"/>
        <v>131</v>
      </c>
      <c r="BC17" s="125">
        <f>IF(ISNUMBER(W17),W17," - ")</f>
        <v>22</v>
      </c>
      <c r="BD17" s="126">
        <f>IF(ISNUMBER(BA17/AZ17),BA17/AZ17," - ")</f>
        <v>0.88719512195121952</v>
      </c>
      <c r="BE17" s="127">
        <f>IF(ISNUMBER(BB17/BA17),BB17/BA17, " - ")</f>
        <v>0.45017182130584193</v>
      </c>
      <c r="BF17" s="127">
        <f>IF(ISNUMBER(BC17/BA17),BC17/BA17, " - ")</f>
        <v>7.560137457044673E-2</v>
      </c>
      <c r="BG17" s="196">
        <f>IF(ISNUMBER((AY17+AZ17)/BA17),(AY17+AZ17)/BA17," - ")</f>
        <v>1.4501718213058419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7191</v>
      </c>
      <c r="J18" s="184">
        <f t="shared" si="15"/>
        <v>4730</v>
      </c>
      <c r="K18" s="184">
        <f t="shared" si="15"/>
        <v>3858</v>
      </c>
      <c r="L18" s="184">
        <f t="shared" si="15"/>
        <v>8083</v>
      </c>
      <c r="M18" s="184">
        <f t="shared" si="15"/>
        <v>405</v>
      </c>
      <c r="N18" s="184">
        <f t="shared" si="15"/>
        <v>2455</v>
      </c>
      <c r="O18" s="184">
        <f t="shared" si="15"/>
        <v>61</v>
      </c>
      <c r="P18" s="184">
        <f t="shared" si="15"/>
        <v>70</v>
      </c>
      <c r="Q18" s="184">
        <f t="shared" si="15"/>
        <v>69</v>
      </c>
      <c r="R18" s="184">
        <f t="shared" si="15"/>
        <v>375</v>
      </c>
      <c r="S18" s="184">
        <f t="shared" si="15"/>
        <v>6534</v>
      </c>
      <c r="T18" s="184">
        <f t="shared" si="15"/>
        <v>4151</v>
      </c>
      <c r="U18" s="184">
        <f t="shared" si="15"/>
        <v>3928</v>
      </c>
      <c r="V18" s="184">
        <f t="shared" si="15"/>
        <v>6770</v>
      </c>
      <c r="W18" s="184">
        <f t="shared" si="15"/>
        <v>364</v>
      </c>
      <c r="X18" s="184">
        <f t="shared" si="15"/>
        <v>2547</v>
      </c>
      <c r="Y18" s="184">
        <f t="shared" si="15"/>
        <v>0</v>
      </c>
      <c r="Z18" s="184">
        <f t="shared" si="15"/>
        <v>0</v>
      </c>
      <c r="AA18" s="184">
        <f t="shared" si="15"/>
        <v>0</v>
      </c>
      <c r="AB18" s="184">
        <f t="shared" si="15"/>
        <v>0</v>
      </c>
      <c r="AC18" s="184">
        <f t="shared" si="15"/>
        <v>6</v>
      </c>
      <c r="AD18" s="184">
        <f t="shared" si="15"/>
        <v>153</v>
      </c>
      <c r="AE18" s="184">
        <f t="shared" si="15"/>
        <v>157</v>
      </c>
      <c r="AF18" s="184">
        <f t="shared" si="15"/>
        <v>2</v>
      </c>
      <c r="AG18" s="184">
        <f t="shared" si="15"/>
        <v>0</v>
      </c>
      <c r="AH18" s="184">
        <f t="shared" si="15"/>
        <v>0</v>
      </c>
      <c r="AI18" s="184">
        <f t="shared" si="15"/>
        <v>0</v>
      </c>
      <c r="AJ18" s="184">
        <f t="shared" si="15"/>
        <v>0</v>
      </c>
      <c r="AK18" s="184">
        <f t="shared" si="15"/>
        <v>0</v>
      </c>
      <c r="AL18" s="184">
        <f t="shared" si="15"/>
        <v>159</v>
      </c>
      <c r="AM18" s="184">
        <f t="shared" si="15"/>
        <v>159</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6534</v>
      </c>
      <c r="AZ18" s="184">
        <f>SUBTOTAL(9,AZ14:AZ17)</f>
        <v>4151</v>
      </c>
      <c r="BA18" s="184">
        <f>SUBTOTAL(9,BA14:BA17)</f>
        <v>3928</v>
      </c>
      <c r="BB18" s="184">
        <f>SUBTOTAL(9,BB14:BB17)</f>
        <v>6770</v>
      </c>
      <c r="BC18" s="184">
        <f>SUBTOTAL(9,BC14:BC17)</f>
        <v>364</v>
      </c>
      <c r="BD18" s="205">
        <f>IF(ISNUMBER(BA18/AZ18),BA18/AZ18," - ")</f>
        <v>0.94627800529992778</v>
      </c>
      <c r="BE18" s="206">
        <f>IF(ISNUMBER(BB18/BA18),BB18/BA18, " - ")</f>
        <v>1.7235234215885946</v>
      </c>
      <c r="BF18" s="206">
        <f>IF(ISNUMBER(BC18/BA18),BC18/BA18, " - ")</f>
        <v>9.2668024439918534E-2</v>
      </c>
      <c r="BG18" s="207">
        <f>IF(ISNUMBER((AY18+AZ18)/BA18),(AY18+AZ18)/BA18," - ")</f>
        <v>2.7202138492871692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16939</v>
      </c>
      <c r="J19" s="134">
        <f t="shared" si="18"/>
        <v>8013</v>
      </c>
      <c r="K19" s="134">
        <f t="shared" si="18"/>
        <v>7083</v>
      </c>
      <c r="L19" s="134">
        <f t="shared" si="18"/>
        <v>17809</v>
      </c>
      <c r="M19" s="134">
        <f t="shared" si="18"/>
        <v>1156</v>
      </c>
      <c r="N19" s="134">
        <f t="shared" si="18"/>
        <v>4007</v>
      </c>
      <c r="O19" s="134">
        <f t="shared" si="18"/>
        <v>1543</v>
      </c>
      <c r="P19" s="134">
        <f t="shared" si="18"/>
        <v>1901</v>
      </c>
      <c r="Q19" s="134">
        <f t="shared" si="18"/>
        <v>1031</v>
      </c>
      <c r="R19" s="134">
        <f t="shared" si="18"/>
        <v>17217</v>
      </c>
      <c r="S19" s="134">
        <f t="shared" si="18"/>
        <v>16135</v>
      </c>
      <c r="T19" s="134">
        <f t="shared" si="18"/>
        <v>7860</v>
      </c>
      <c r="U19" s="134">
        <f t="shared" si="18"/>
        <v>6956</v>
      </c>
      <c r="V19" s="134">
        <f t="shared" si="18"/>
        <v>17066</v>
      </c>
      <c r="W19" s="134">
        <f t="shared" si="18"/>
        <v>1017</v>
      </c>
      <c r="X19" s="134">
        <f t="shared" si="18"/>
        <v>4103</v>
      </c>
      <c r="Y19" s="134">
        <f t="shared" si="18"/>
        <v>243</v>
      </c>
      <c r="Z19" s="134">
        <f t="shared" si="18"/>
        <v>199</v>
      </c>
      <c r="AA19" s="134">
        <f t="shared" si="18"/>
        <v>206</v>
      </c>
      <c r="AB19" s="134">
        <f t="shared" si="18"/>
        <v>236</v>
      </c>
      <c r="AC19" s="134">
        <f t="shared" si="18"/>
        <v>6</v>
      </c>
      <c r="AD19" s="134">
        <f t="shared" si="18"/>
        <v>153</v>
      </c>
      <c r="AE19" s="134">
        <f t="shared" si="18"/>
        <v>157</v>
      </c>
      <c r="AF19" s="134">
        <f t="shared" si="18"/>
        <v>2</v>
      </c>
      <c r="AG19" s="134">
        <f t="shared" si="18"/>
        <v>238</v>
      </c>
      <c r="AH19" s="134">
        <f t="shared" si="18"/>
        <v>225</v>
      </c>
      <c r="AI19" s="134">
        <f t="shared" si="18"/>
        <v>308</v>
      </c>
      <c r="AJ19" s="134">
        <f t="shared" si="18"/>
        <v>164</v>
      </c>
      <c r="AK19" s="134">
        <f t="shared" si="18"/>
        <v>0</v>
      </c>
      <c r="AL19" s="134">
        <f t="shared" si="18"/>
        <v>159</v>
      </c>
      <c r="AM19" s="134">
        <f t="shared" si="18"/>
        <v>159</v>
      </c>
      <c r="AN19" s="210">
        <f t="shared" si="18"/>
        <v>0</v>
      </c>
      <c r="AO19" s="211">
        <v>15</v>
      </c>
      <c r="AP19" s="211">
        <v>15</v>
      </c>
      <c r="AQ19" s="211">
        <v>15</v>
      </c>
      <c r="AR19" s="211">
        <v>15</v>
      </c>
      <c r="AS19" s="153">
        <f t="shared" si="18"/>
        <v>0</v>
      </c>
      <c r="AT19" s="153">
        <f t="shared" si="18"/>
        <v>0</v>
      </c>
      <c r="AU19" s="211"/>
      <c r="AV19" s="212"/>
      <c r="AW19" s="211"/>
      <c r="AX19" s="212"/>
      <c r="AY19" s="133">
        <f>SUBTOTAL(9,AY9:AY18)</f>
        <v>16373</v>
      </c>
      <c r="AZ19" s="134">
        <f>SUBTOTAL(9,AZ9:AZ18)</f>
        <v>8085</v>
      </c>
      <c r="BA19" s="134">
        <f>SUBTOTAL(9,BA9:BA18)</f>
        <v>7264</v>
      </c>
      <c r="BB19" s="134">
        <f>SUBTOTAL(9,BB9:BB18)</f>
        <v>17230</v>
      </c>
      <c r="BC19" s="135">
        <f>SUBTOTAL(9,BC9:BC18)</f>
        <v>1921</v>
      </c>
      <c r="BD19" s="213">
        <f>IF(ISNUMBER(BA19/AZ19),BA19/AZ19," - ")</f>
        <v>0.89845392702535565</v>
      </c>
      <c r="BE19" s="210">
        <f>IF(ISNUMBER(BB19/BA19),BB19/BA19, " - ")</f>
        <v>2.3719713656387666</v>
      </c>
      <c r="BF19" s="210">
        <f>IF(ISNUMBER(BC19/BA19),BC19/BA19, " - ")</f>
        <v>0.26445484581497797</v>
      </c>
      <c r="BG19" s="135">
        <f>IF(ISNUMBER((AY19+AZ19)/BA19),(AY19+AZ19)/BA19," - ")</f>
        <v>3.3670154185022025</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hnUwXBQLUAqzPILCjaffd5B6SjhlsKrnG6er70ogssMOB84lA1agtAknbzFCchOG797qqjKK5oaRaogMFG5Yw==" saltValue="R4jXuabFkgpp6WCA02xc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0yMHfkKETVY+F2/FFI1DJpADRIS8pI1vY5JBmVC3qQvjmXy8MkcxG2kqntOjSG+QlJdNovRxMq2gyeg3kpjg==" saltValue="irs6SgRxridNH80LwdiC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55</v>
      </c>
      <c r="O9" s="334"/>
      <c r="P9" s="334"/>
      <c r="Q9" s="226">
        <f>IF(ISNUMBER(Datos!P9),Datos!P9,0)</f>
        <v>1756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908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110</v>
      </c>
      <c r="AI9" s="334" t="str">
        <f>IF(ISNUMBER(Datos!CD9),Datos!CD9,"-")</f>
        <v>-</v>
      </c>
      <c r="AJ9" s="334" t="str">
        <f>IF(ISNUMBER(Datos!EN9),Datos!EN9," - ")</f>
        <v xml:space="preserve"> - </v>
      </c>
      <c r="AK9" s="334"/>
      <c r="AL9" s="479"/>
      <c r="AM9" s="335">
        <f>IF(ISNUMBER(Datos!R9),Datos!R9," - ")</f>
        <v>15980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644</v>
      </c>
      <c r="BD9" s="229">
        <f>IF(ISNUMBER(Datos!N9),Datos!N9," - ")</f>
        <v>1284</v>
      </c>
      <c r="BE9" s="229" t="str">
        <f>IF(ISNUMBER(Datos!BW9),Datos!BW9," - ")</f>
        <v xml:space="preserve"> - </v>
      </c>
      <c r="BF9" s="228" t="str">
        <f>IF(ISNUMBER(Datos!BX9),Datos!BX9," - ")</f>
        <v xml:space="preserve"> - </v>
      </c>
      <c r="BG9" s="243">
        <f>IF(ISNUMBER(IF(J_V="SI",Datos!K9/Datos!J9,(Datos!K9+Datos!AA9)/(Datos!J9+Datos!Z9))),IF(J_V="SI",Datos!K9/Datos!J9,(Datos!K9+Datos!AA9)/(Datos!J9+Datos!Z9))," - ")</f>
        <v>1.0157728706624605</v>
      </c>
      <c r="BH9" s="260">
        <f>IF(ISNUMBER(((IF(J_V="SI",Datos!L9/Datos!K9,(Datos!L9+Datos!AB9)/(Datos!K9+Datos!AA9)))*11)/factor_trimestre),((IF(J_V="SI",Datos!L9/Datos!K9,(Datos!L9+Datos!AB9)/(Datos!K9+Datos!AA9)))*11)/factor_trimestre," - ")</f>
        <v>6.0890269151138714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5.604017975151996E-2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152</v>
      </c>
      <c r="G10" s="333">
        <f>IF(ISNUMBER(Datos!I10),Datos!I10," - ")</f>
        <v>152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7</v>
      </c>
      <c r="AD10" s="334"/>
      <c r="AE10" s="484"/>
      <c r="AF10" s="332">
        <f>IF(ISNUMBER(Datos!L10),Datos!L10,"-")</f>
        <v>178</v>
      </c>
      <c r="AG10" s="334"/>
      <c r="AH10" s="334"/>
      <c r="AI10" s="334"/>
      <c r="AJ10" s="334"/>
      <c r="AK10" s="334"/>
      <c r="AL10" s="479"/>
      <c r="AM10" s="335">
        <f>IF(ISNUMBER(Datos!R10),Datos!R10," - ")</f>
        <v>109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10</v>
      </c>
      <c r="BE10" s="229" t="str">
        <f>IF(ISNUMBER(Datos!BW10),Datos!BW10," - ")</f>
        <v xml:space="preserve"> - </v>
      </c>
      <c r="BF10" s="228" t="str">
        <f>IF(ISNUMBER(Datos!BX10),Datos!BX10," - ")</f>
        <v xml:space="preserve"> - </v>
      </c>
      <c r="BG10" s="243">
        <f>IF(ISNUMBER(Datos!K10/Datos!J10),Datos!K10/Datos!J10," - ")</f>
        <v>0.61194029850746268</v>
      </c>
      <c r="BH10" s="260">
        <f>IF(ISNUMBER(((Datos!L10/Datos!K10)*11)/factor_trimestre),((Datos!L10/Datos!K10)*11)/factor_trimestre," - ")</f>
        <v>8.6829268292682933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5.8252427184466021E-2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144</v>
      </c>
      <c r="O11" s="334"/>
      <c r="P11" s="334"/>
      <c r="Q11" s="226">
        <f>IF(ISNUMBER(Datos!P11),Datos!P11,0)</f>
        <v>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47</v>
      </c>
      <c r="AD11" s="334"/>
      <c r="AE11" s="484"/>
      <c r="AF11" s="332" t="str">
        <f>IF(ISNUMBER(IF(J_V="SI",Datos!L11,Datos!L11+Datos!AB11)-IF(Monitorios="SI",Datos!CD11,0)),
                          IF(J_V="SI",Datos!L11,Datos!L11+Datos!AB11)-IF(Monitorios="SI",Datos!CD11,0),
                          " - ")</f>
        <v xml:space="preserve"> - </v>
      </c>
      <c r="AG11" s="334"/>
      <c r="AH11" s="334">
        <f>IF(ISNUMBER(Datos!AB11),Datos!AB11,"-")</f>
        <v>126</v>
      </c>
      <c r="AI11" s="334"/>
      <c r="AJ11" s="334"/>
      <c r="AK11" s="334"/>
      <c r="AL11" s="479"/>
      <c r="AM11" s="335">
        <f>IF(ISNUMBER(Datos!R11),Datos!R11," - ")</f>
        <v>753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101</v>
      </c>
      <c r="BD11" s="229">
        <f>IF(ISNUMBER(Datos!N11),Datos!N11," - ")</f>
        <v>258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0.8754448398576512</v>
      </c>
      <c r="BH11" s="260">
        <f>IF(ISNUMBER(((IF(J_V="SI",Datos!L11/Datos!K11,(Datos!L11+Datos!AB11)/(Datos!K11+Datos!AA11)))*11)/factor_trimestre),((IF(J_V="SI",Datos!L11/Datos!K11,(Datos!L11+Datos!AB11)/(Datos!K11+Datos!AA11)))*11)/factor_trimestre," - ")</f>
        <v>3.9065040650406506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2.032520325203252E-2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11</v>
      </c>
      <c r="F13" s="898">
        <f t="shared" si="0"/>
        <v>152</v>
      </c>
      <c r="G13" s="898">
        <f t="shared" si="0"/>
        <v>152</v>
      </c>
      <c r="H13" s="899">
        <f t="shared" si="0"/>
        <v>0</v>
      </c>
      <c r="I13" s="898">
        <f t="shared" si="0"/>
        <v>0</v>
      </c>
      <c r="J13" s="867">
        <f t="shared" si="0"/>
        <v>0</v>
      </c>
      <c r="K13" s="867">
        <f t="shared" si="0"/>
        <v>0</v>
      </c>
      <c r="L13" s="899">
        <f t="shared" si="0"/>
        <v>0</v>
      </c>
      <c r="M13" s="899">
        <f t="shared" si="0"/>
        <v>0</v>
      </c>
      <c r="N13" s="899">
        <f t="shared" si="0"/>
        <v>199</v>
      </c>
      <c r="O13" s="900">
        <f t="shared" si="0"/>
        <v>0</v>
      </c>
      <c r="P13" s="900">
        <f t="shared" si="0"/>
        <v>0</v>
      </c>
      <c r="Q13" s="899">
        <f t="shared" si="0"/>
        <v>1831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962</v>
      </c>
      <c r="AD13" s="899">
        <f t="shared" si="1"/>
        <v>0</v>
      </c>
      <c r="AE13" s="899">
        <f t="shared" si="1"/>
        <v>0</v>
      </c>
      <c r="AF13" s="899">
        <f t="shared" si="1"/>
        <v>178</v>
      </c>
      <c r="AG13" s="899">
        <f t="shared" si="1"/>
        <v>0</v>
      </c>
      <c r="AH13" s="899">
        <f t="shared" si="1"/>
        <v>236</v>
      </c>
      <c r="AI13" s="899">
        <f t="shared" si="1"/>
        <v>0</v>
      </c>
      <c r="AJ13" s="899">
        <f t="shared" si="1"/>
        <v>0</v>
      </c>
      <c r="AK13" s="899">
        <f t="shared" si="1"/>
        <v>0</v>
      </c>
      <c r="AL13" s="899">
        <f t="shared" si="1"/>
        <v>0</v>
      </c>
      <c r="AM13" s="899">
        <f t="shared" si="1"/>
        <v>16842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751</v>
      </c>
      <c r="BD13" s="899">
        <f t="shared" si="1"/>
        <v>1552</v>
      </c>
      <c r="BE13" s="899">
        <f t="shared" si="1"/>
        <v>0</v>
      </c>
      <c r="BF13" s="899">
        <f t="shared" si="1"/>
        <v>0</v>
      </c>
      <c r="BG13" s="899">
        <f>IF(ISNUMBER(Datos!K13/Datos!J13),Datos!K13/Datos!J13," - ")</f>
        <v>0.98233323180018273</v>
      </c>
      <c r="BH13" s="903">
        <f>IF(ISNUMBER(((Datos!L13/Datos!K13)*11)/factor_trimestre),((Datos!L13/Datos!K13)*11)/factor_trimestre," - ")</f>
        <v>6.0316279069767438</v>
      </c>
      <c r="BI13" s="899">
        <f>IF(ISNUMBER('Resol  Asuntos'!D13/NºAsuntos!G13),'Resol  Asuntos'!D13/NºAsuntos!G13," - ")</f>
        <v>0.21888662197610026</v>
      </c>
      <c r="BJ13" s="899" t="str">
        <f>IF(ISNUMBER(Datos!CI13/Datos!CJ13),Datos!CI13/Datos!CJ13," - ")</f>
        <v xml:space="preserve"> - </v>
      </c>
      <c r="BK13" s="899">
        <f>SUBTOTAL(9,BK8:BK12)</f>
        <v>0</v>
      </c>
      <c r="BL13" s="899">
        <f>IF(ISNUMBER((I13-AB13+L13)/(F13)),(I13-AB13+L13)/(F13)," - ")</f>
        <v>-0.26973684210526316</v>
      </c>
      <c r="BM13" s="904">
        <f>SUBTOTAL(9,BM9:BM12)</f>
        <v>0.13461781018801849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6932</v>
      </c>
      <c r="G15" s="598">
        <f>IF(ISNUMBER(IF(D_I="SI",Datos!I15,Datos!I15+Datos!AC15)),IF(D_I="SI",Datos!I15,Datos!I15+Datos!AC15)," - ")</f>
        <v>6916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3646</v>
      </c>
      <c r="AC15" s="226">
        <f>IF(ISNUMBER(Datos!Q15),Datos!Q15," - ")</f>
        <v>69</v>
      </c>
      <c r="AD15" s="334"/>
      <c r="AE15" s="484"/>
      <c r="AF15" s="596">
        <f>IF(ISNUMBER(IF(D_I="SI",Datos!L15,Datos!L15+Datos!AF15)),IF(D_I="SI",Datos!L15,Datos!L15+Datos!AF15)," - ")</f>
        <v>7728</v>
      </c>
      <c r="AG15" s="334"/>
      <c r="AH15" s="334"/>
      <c r="AI15" s="334"/>
      <c r="AJ15" s="334"/>
      <c r="AK15" s="334"/>
      <c r="AL15" s="479"/>
      <c r="AM15" s="335">
        <f>IF(ISNUMBER(Datos!R15),Datos!R15," - ")</f>
        <v>365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377</v>
      </c>
      <c r="BD15" s="229">
        <f>IF(ISNUMBER(Datos!N15),Datos!N15," - ")</f>
        <v>2300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0.82080144079243589</v>
      </c>
      <c r="BH15" s="260">
        <f>IF(ISNUMBER(((IF(D_I="SI",Datos!L15/Datos!K15,(Datos!L15+Datos!AF15)/(Datos!K15+Datos!AE15)))*11)/factor_trimestre),((IF(D_I="SI",Datos!L15/Datos!K15,(Datos!L15+Datos!AF15)/(Datos!K15+Datos!AE15)))*11)/factor_trimestre," - ")</f>
        <v>4.2391662095447069</v>
      </c>
      <c r="BI15" s="243">
        <f>IF(ISNUMBER('Resol  Asuntos'!D15/NºAsuntos!G15),'Resol  Asuntos'!D15/NºAsuntos!G15," - ")</f>
        <v>0.1034009873834339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0</v>
      </c>
      <c r="AD17" s="334"/>
      <c r="AE17" s="484"/>
      <c r="AF17" s="332">
        <f>IF(ISNUMBER(Datos!L17),Datos!L17,"-")</f>
        <v>355</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155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0.73611111111111116</v>
      </c>
      <c r="BH17" s="260">
        <f>IF(ISNUMBER(((IF(D_I="SI",Datos!L17/Datos!K17,(Datos!L17+Datos!AF17)/(Datos!K17+Datos!AE17)))*11)/factor_trimestre),((IF(D_I="SI",Datos!L17/Datos!K17,(Datos!L17+Datos!AF17)/(Datos!K17+Datos!AE17)))*11)/factor_trimestre," - ")</f>
        <v>3.3490566037735849</v>
      </c>
      <c r="BI17" s="243">
        <f>IF(ISNUMBER('Resol  Asuntos'!D17/NºAsuntos!G17),'Resol  Asuntos'!D17/NºAsuntos!G17," - ")</f>
        <v>0.13207547169811321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6932</v>
      </c>
      <c r="G18" s="898">
        <f>SUBTOTAL(9,G15:G17)</f>
        <v>7191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3858</v>
      </c>
      <c r="AC18" s="899">
        <f t="shared" si="4"/>
        <v>69</v>
      </c>
      <c r="AD18" s="899">
        <f t="shared" si="4"/>
        <v>0</v>
      </c>
      <c r="AE18" s="899">
        <f t="shared" si="4"/>
        <v>0</v>
      </c>
      <c r="AF18" s="899">
        <f t="shared" si="4"/>
        <v>8083</v>
      </c>
      <c r="AG18" s="899">
        <f t="shared" si="4"/>
        <v>0</v>
      </c>
      <c r="AH18" s="899">
        <f t="shared" si="4"/>
        <v>0</v>
      </c>
      <c r="AI18" s="899">
        <f t="shared" si="4"/>
        <v>0</v>
      </c>
      <c r="AJ18" s="899">
        <f t="shared" si="4"/>
        <v>0</v>
      </c>
      <c r="AK18" s="899">
        <f t="shared" si="4"/>
        <v>0</v>
      </c>
      <c r="AL18" s="899">
        <f t="shared" si="4"/>
        <v>0</v>
      </c>
      <c r="AM18" s="899">
        <f t="shared" si="4"/>
        <v>375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405</v>
      </c>
      <c r="BD18" s="899">
        <f t="shared" si="4"/>
        <v>2455</v>
      </c>
      <c r="BE18" s="899">
        <f t="shared" si="4"/>
        <v>0</v>
      </c>
      <c r="BF18" s="899">
        <f t="shared" si="4"/>
        <v>0</v>
      </c>
      <c r="BG18" s="899">
        <f>IF(ISNUMBER(Datos!K18/Datos!J18),Datos!K18/Datos!J18," - ")</f>
        <v>0.81564482029598306</v>
      </c>
      <c r="BH18" s="903">
        <f>IF(ISNUMBER(((Datos!L18/Datos!K18)*11)/factor_trimestre),((Datos!L18/Datos!K18)*11)/factor_trimestre," - ")</f>
        <v>4.1902540176257128</v>
      </c>
      <c r="BI18" s="899">
        <f>SUBTOTAL(9,BI15:BI17)</f>
        <v>0.2354764590815471</v>
      </c>
      <c r="BJ18" s="899">
        <f>SUBTOTAL(9,BJ15:BJ17)</f>
        <v>0</v>
      </c>
      <c r="BK18" s="899">
        <f>SUBTOTAL(9,BK15:BK17)</f>
        <v>0</v>
      </c>
      <c r="BL18" s="899">
        <f>IF(ISNUMBER((I18-AB18+L18)/(F18)),(I18-AB18+L18)/(F18)," - ")</f>
        <v>-0.55654933641084825</v>
      </c>
      <c r="BM18" s="905">
        <f>IF(ISNUMBER((Datos!P18-Datos!Q18)/(Datos!R18-Datos!P18+Datos!Q18)),(Datos!P18-Datos!Q18)/(Datos!R18-Datos!P18+Datos!Q18)," - ")</f>
        <v>2.6737967914438501E-3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7084</v>
      </c>
      <c r="G19" s="820">
        <f t="shared" si="6"/>
        <v>7343</v>
      </c>
      <c r="H19" s="822">
        <f t="shared" si="6"/>
        <v>0</v>
      </c>
      <c r="I19" s="820">
        <f t="shared" si="6"/>
        <v>0</v>
      </c>
      <c r="J19" s="822">
        <f t="shared" si="6"/>
        <v>0</v>
      </c>
      <c r="K19" s="822">
        <f t="shared" si="6"/>
        <v>0</v>
      </c>
      <c r="L19" s="881">
        <f t="shared" si="6"/>
        <v>0</v>
      </c>
      <c r="M19" s="881">
        <f t="shared" si="6"/>
        <v>0</v>
      </c>
      <c r="N19" s="881">
        <f t="shared" si="6"/>
        <v>199</v>
      </c>
      <c r="O19" s="881">
        <f t="shared" si="6"/>
        <v>0</v>
      </c>
      <c r="P19" s="881">
        <f t="shared" si="6"/>
        <v>0</v>
      </c>
      <c r="Q19" s="822">
        <f t="shared" si="6"/>
        <v>1901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3899</v>
      </c>
      <c r="AC19" s="821">
        <f t="shared" si="7"/>
        <v>1031</v>
      </c>
      <c r="AD19" s="821">
        <f t="shared" si="7"/>
        <v>0</v>
      </c>
      <c r="AE19" s="821">
        <f t="shared" si="7"/>
        <v>0</v>
      </c>
      <c r="AF19" s="828">
        <f t="shared" si="7"/>
        <v>8261</v>
      </c>
      <c r="AG19" s="828">
        <f t="shared" si="7"/>
        <v>0</v>
      </c>
      <c r="AH19" s="828">
        <f t="shared" si="7"/>
        <v>236</v>
      </c>
      <c r="AI19" s="828">
        <f t="shared" si="7"/>
        <v>0</v>
      </c>
      <c r="AJ19" s="821">
        <f t="shared" si="7"/>
        <v>0</v>
      </c>
      <c r="AK19" s="828">
        <f t="shared" si="7"/>
        <v>0</v>
      </c>
      <c r="AL19" s="828">
        <f t="shared" si="7"/>
        <v>0</v>
      </c>
      <c r="AM19" s="828">
        <f t="shared" si="7"/>
        <v>17217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1156</v>
      </c>
      <c r="BD19" s="820">
        <f t="shared" si="7"/>
        <v>4007</v>
      </c>
      <c r="BE19" s="820">
        <f t="shared" si="7"/>
        <v>0</v>
      </c>
      <c r="BF19" s="830">
        <f t="shared" si="7"/>
        <v>0</v>
      </c>
      <c r="BG19" s="915">
        <f>IF(ISNUMBER(Datos!K19/Datos!J19),Datos!K19/Datos!J19," - ")</f>
        <v>0.88393859977536504</v>
      </c>
      <c r="BH19" s="915">
        <f>IF(ISNUMBER(((Datos!L19/Datos!K19)*11)/factor_trimestre),((Datos!L19/Datos!K19)*11)/factor_trimestre," - ")</f>
        <v>5.0286601722433995</v>
      </c>
      <c r="BI19" s="813">
        <f>IF(ISNUMBER(Datos!J19/Datos!I19),Datos!J19/Datos!I19," - ")</f>
        <v>0.47305035716394123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-0.55039525691699609</v>
      </c>
      <c r="BM19" s="889">
        <f>IF(ISNUMBER((Datos!P19-Datos!Q19+R19)/(Datos!R19-Datos!P19+Datos!Q19-R19)),(Datos!P19-Datos!Q19+R19)/(Datos!R19-Datos!P19+Datos!Q19-R19)," - ")</f>
        <v>5.3220774454028265E-2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3.844187531556932</v>
      </c>
      <c r="F21" s="551">
        <f>IF(ISNUMBER(STDEV(F8:F18)),STDEV(F8:F18),"-")</f>
        <v>3914.4348251056626</v>
      </c>
      <c r="G21" s="552">
        <f>IF(ISNUMBER(STDEV(G8:G18)),STDEV(G8:G18),"-")</f>
        <v>3759.243634030654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2003.997579838858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297.8510333962904</v>
      </c>
      <c r="BD21" s="551"/>
      <c r="BE21" s="551">
        <f>IF(ISNUMBER(STDEV(BE8:BE18)),STDEV(BE8:BE18),"-")</f>
        <v>0</v>
      </c>
      <c r="BF21" s="556">
        <f>IF(ISNUMBER(STDEV(BF8:BF18)),STDEV(BF8:BF18),"-")</f>
        <v>0</v>
      </c>
      <c r="BG21" s="775">
        <f>IF(ISNUMBER(STDEV(BG8:BG18)),STDEV(BG8:BG18),"-")</f>
        <v>0.13910921256006484</v>
      </c>
      <c r="BH21" s="776">
        <f>IF(ISNUMBER(STDEV(BH8:BH18)),STDEV(BH8:BH18),"-")</f>
        <v>1.8553321520291304</v>
      </c>
      <c r="BI21" s="249">
        <f>IF(ISNUMBER(STDEV(BI8:BI18)),STDEV(BI8:BI18),"-")</f>
        <v>6.4618270617981532E-2</v>
      </c>
      <c r="BJ21" s="230" t="str">
        <f>IF(ISNUMBER(BL21/BM21),BL21/BM21," - ")</f>
        <v xml:space="preserve"> - </v>
      </c>
      <c r="BK21" s="575"/>
      <c r="BL21" s="559">
        <f>IF(ISNUMBER(STDEV(BL8:BL18)),STDEV(BL8:BL18),"-")</f>
        <v>0.2028070596525072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l0EkTOL2tqOpII3Al4wd3Mqy3sUNMrF7BDQyXVDcq7jXq+Zx8+kmR9Fc9uZiZIeRlH4c9LZY5v1QTqtVjnRIA==" saltValue="RYSLzWbYrgrVA4tX0H6L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GRANOLLERS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1756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908</v>
      </c>
      <c r="AA9" s="332" t="str">
        <f>IF(ISNUMBER(IF(J_V="SI",Datos!L9,Datos!L9+Datos!AB9)-IF(Monitorios="SI",Datos!CD9,0)),
                          IF(J_V="SI",Datos!L9,Datos!L9+Datos!AB9)-IF(Monitorios="SI",Datos!CD9,0),
                          " - ")</f>
        <v xml:space="preserve"> - </v>
      </c>
      <c r="AB9" s="334"/>
      <c r="AC9" s="334"/>
      <c r="AD9" s="484"/>
      <c r="AE9" s="484">
        <f>IF(ISNUMBER(Datos!R9),Datos!R9," - ")</f>
        <v>15980</v>
      </c>
      <c r="AF9" s="229" t="str">
        <f>IF(ISNUMBER(Datos!BV9),Datos!BV9," - ")</f>
        <v xml:space="preserve"> - </v>
      </c>
      <c r="AG9" s="225" t="str">
        <f>IF(ISNUMBER(Datos!DV9),Datos!DV9," - ")</f>
        <v xml:space="preserve"> - </v>
      </c>
      <c r="AH9" s="298"/>
      <c r="AI9" s="227"/>
      <c r="AJ9" s="225">
        <f>IF(ISNUMBER(Datos!M9),Datos!M9," - ")</f>
        <v>644</v>
      </c>
      <c r="AK9" s="229">
        <f>IF(ISNUMBER(Datos!N9),Datos!N9," - ")</f>
        <v>1284</v>
      </c>
      <c r="AL9" s="229" t="str">
        <f>IF(ISNUMBER(Datos!BW9),Datos!BW9," - ")</f>
        <v xml:space="preserve"> - </v>
      </c>
      <c r="AM9" s="228" t="str">
        <f>IF(ISNUMBER(Datos!BX9),Datos!BX9," - ")</f>
        <v xml:space="preserve"> - </v>
      </c>
      <c r="AN9" s="243"/>
      <c r="AO9" s="260">
        <f>IF(ISNUMBER(((NºAsuntos!I9/NºAsuntos!G9)*11)/factor_trimestre),((NºAsuntos!I9/NºAsuntos!G9)*11)/factor_trimestre," - ")</f>
        <v>6.0890269151138714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5.604017975151996E-2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152</v>
      </c>
      <c r="G10" s="225">
        <f>IF(ISNUMBER(Datos!I10),Datos!I10," - ")</f>
        <v>152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7</v>
      </c>
      <c r="AA10" s="332">
        <f>IF(ISNUMBER(Datos!L10),Datos!L10,"-")</f>
        <v>178</v>
      </c>
      <c r="AB10" s="334"/>
      <c r="AC10" s="334"/>
      <c r="AD10" s="484"/>
      <c r="AE10" s="484">
        <f>IF(ISNUMBER(Datos!R10),Datos!R10," - ")</f>
        <v>109</v>
      </c>
      <c r="AF10" s="229" t="str">
        <f>IF(ISNUMBER(Datos!BV10),Datos!BV10," - ")</f>
        <v xml:space="preserve"> - </v>
      </c>
      <c r="AG10" s="225" t="str">
        <f>IF(ISNUMBER(Datos!DV10),Datos!DV10," - ")</f>
        <v xml:space="preserve"> - </v>
      </c>
      <c r="AH10" s="298"/>
      <c r="AI10" s="227"/>
      <c r="AJ10" s="225">
        <f>IF(ISNUMBER(Datos!M10),Datos!M10," - ")</f>
        <v>6</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8.6829268292682933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5.8252427184466021E-2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47</v>
      </c>
      <c r="AA11" s="332" t="str">
        <f>IF(ISNUMBER(IF(J_V="SI",Datos!L11,Datos!L11+Datos!AB11)-IF(Monitorios="SI",Datos!CD11,0)),
                          IF(J_V="SI",Datos!L11,Datos!L11+Datos!AB11)-IF(Monitorios="SI",Datos!CD11,0),
                          " - ")</f>
        <v xml:space="preserve"> - </v>
      </c>
      <c r="AB11" s="334"/>
      <c r="AC11" s="334"/>
      <c r="AD11" s="484"/>
      <c r="AE11" s="484">
        <f>IF(ISNUMBER(Datos!R11),Datos!R11," - ")</f>
        <v>753</v>
      </c>
      <c r="AF11" s="229" t="str">
        <f>IF(ISNUMBER(Datos!BV11),Datos!BV11," - ")</f>
        <v xml:space="preserve"> - </v>
      </c>
      <c r="AG11" s="225" t="str">
        <f>IF(ISNUMBER(Datos!DV11),Datos!DV11," - ")</f>
        <v xml:space="preserve"> - </v>
      </c>
      <c r="AH11" s="298"/>
      <c r="AI11" s="227"/>
      <c r="AJ11" s="225">
        <f>IF(ISNUMBER(Datos!M11),Datos!M11," - ")</f>
        <v>101</v>
      </c>
      <c r="AK11" s="229">
        <f>IF(ISNUMBER(Datos!N11),Datos!N11," - ")</f>
        <v>258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3.9065040650406506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2.032520325203252E-2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11</v>
      </c>
      <c r="F13" s="898">
        <f>SUBTOTAL(9,F8:F12)</f>
        <v>152</v>
      </c>
      <c r="G13" s="898">
        <f>SUBTOTAL(9,G8:G12)</f>
        <v>152</v>
      </c>
      <c r="H13" s="908"/>
      <c r="I13" s="898">
        <f t="shared" ref="I13:N13" si="0">SUBTOTAL(9,I8:I12)</f>
        <v>0</v>
      </c>
      <c r="J13" s="867">
        <f t="shared" si="0"/>
        <v>0</v>
      </c>
      <c r="K13" s="908">
        <f t="shared" si="0"/>
        <v>0</v>
      </c>
      <c r="L13" s="908">
        <f t="shared" si="0"/>
        <v>0</v>
      </c>
      <c r="M13" s="908">
        <f t="shared" si="0"/>
        <v>0</v>
      </c>
      <c r="N13" s="908">
        <f t="shared" si="0"/>
        <v>1831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962</v>
      </c>
      <c r="AA13" s="900">
        <f t="shared" si="2"/>
        <v>178</v>
      </c>
      <c r="AB13" s="900">
        <f t="shared" si="2"/>
        <v>0</v>
      </c>
      <c r="AC13" s="900">
        <f t="shared" si="2"/>
        <v>0</v>
      </c>
      <c r="AD13" s="900">
        <f t="shared" si="2"/>
        <v>0</v>
      </c>
      <c r="AE13" s="900">
        <f t="shared" si="2"/>
        <v>16842</v>
      </c>
      <c r="AF13" s="908">
        <f t="shared" si="2"/>
        <v>0</v>
      </c>
      <c r="AG13" s="908">
        <f t="shared" si="2"/>
        <v>0</v>
      </c>
      <c r="AH13" s="908">
        <f t="shared" si="2"/>
        <v>0</v>
      </c>
      <c r="AI13" s="908">
        <f t="shared" si="2"/>
        <v>0</v>
      </c>
      <c r="AJ13" s="908">
        <f t="shared" si="2"/>
        <v>751</v>
      </c>
      <c r="AK13" s="908">
        <f t="shared" si="2"/>
        <v>1552</v>
      </c>
      <c r="AL13" s="908">
        <f t="shared" si="2"/>
        <v>0</v>
      </c>
      <c r="AM13" s="908">
        <f t="shared" si="2"/>
        <v>0</v>
      </c>
      <c r="AN13" s="908">
        <f t="shared" si="2"/>
        <v>0</v>
      </c>
      <c r="AO13" s="904">
        <f>IF(ISNUMBER(((NºAsuntos!I13/NºAsuntos!G13)*11)/factor_trimestre),((NºAsuntos!I13/NºAsuntos!G13)*11)/factor_trimestre," - ")</f>
        <v>5.8070533372194699</v>
      </c>
      <c r="AP13" s="910" t="str">
        <f>IF(ISNUMBER(Datos!CI13/Datos!CJ13),Datos!CI13/Datos!CJ13," - ")</f>
        <v xml:space="preserve"> - </v>
      </c>
      <c r="AQ13" s="928">
        <f t="shared" ref="AQ13:AV13" si="3">SUBTOTAL(9,AQ9:AQ12)</f>
        <v>0</v>
      </c>
      <c r="AR13" s="928">
        <f t="shared" si="3"/>
        <v>0.13461781018801849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6932</v>
      </c>
      <c r="G15" s="225">
        <f>IF(ISNUMBER(IF(D_I="SI",Datos!I15,Datos!I15+Datos!AC15)),IF(D_I="SI",Datos!I15,Datos!I15+Datos!AC15)," - ")</f>
        <v>6916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3646</v>
      </c>
      <c r="Z15" s="619">
        <f>IF(ISNUMBER(Datos!Q15),Datos!Q15," - ")</f>
        <v>69</v>
      </c>
      <c r="AA15" s="332">
        <f>IF(ISNUMBER(IF(D_I="SI",Datos!L15,Datos!L15+Datos!AF15)),IF(D_I="SI",Datos!L15,Datos!L15+Datos!AF15)," - ")</f>
        <v>7728</v>
      </c>
      <c r="AB15" s="334"/>
      <c r="AC15" s="334"/>
      <c r="AD15" s="484"/>
      <c r="AE15" s="484">
        <f>IF(ISNUMBER(Datos!R15),Datos!R15," - ")</f>
        <v>365</v>
      </c>
      <c r="AF15" s="229" t="str">
        <f>IF(ISNUMBER(Datos!BV15),Datos!BV15," - ")</f>
        <v xml:space="preserve"> - </v>
      </c>
      <c r="AG15" s="225"/>
      <c r="AH15" s="298"/>
      <c r="AI15" s="227"/>
      <c r="AJ15" s="225">
        <f>IF(ISNUMBER(Datos!M15),Datos!M15," - ")</f>
        <v>377</v>
      </c>
      <c r="AK15" s="229">
        <f>IF(ISNUMBER(Datos!N15),Datos!N15," - ")</f>
        <v>2300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4.2391662095447069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0</v>
      </c>
      <c r="AA17" s="332">
        <f>IF(ISNUMBER(Datos!L17),Datos!L17,"-")</f>
        <v>355</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28</v>
      </c>
      <c r="AK17" s="229">
        <f>IF(ISNUMBER(Datos!N17),Datos!N17," - ")</f>
        <v>155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3.3490566037735849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6932</v>
      </c>
      <c r="G18" s="898">
        <f>SUBTOTAL(9,G15:G17)</f>
        <v>7191</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3858</v>
      </c>
      <c r="Z18" s="932">
        <f t="shared" si="5"/>
        <v>69</v>
      </c>
      <c r="AA18" s="932">
        <f t="shared" si="5"/>
        <v>8083</v>
      </c>
      <c r="AB18" s="932">
        <f t="shared" si="5"/>
        <v>0</v>
      </c>
      <c r="AC18" s="932">
        <f t="shared" si="5"/>
        <v>0</v>
      </c>
      <c r="AD18" s="932">
        <f t="shared" si="5"/>
        <v>0</v>
      </c>
      <c r="AE18" s="932">
        <f t="shared" si="5"/>
        <v>375</v>
      </c>
      <c r="AF18" s="932">
        <f t="shared" si="5"/>
        <v>0</v>
      </c>
      <c r="AG18" s="932">
        <f t="shared" si="5"/>
        <v>0</v>
      </c>
      <c r="AH18" s="932">
        <f t="shared" si="5"/>
        <v>0</v>
      </c>
      <c r="AI18" s="932">
        <f t="shared" si="5"/>
        <v>0</v>
      </c>
      <c r="AJ18" s="932">
        <f t="shared" si="5"/>
        <v>405</v>
      </c>
      <c r="AK18" s="932">
        <f t="shared" si="5"/>
        <v>2455</v>
      </c>
      <c r="AL18" s="932">
        <f t="shared" si="5"/>
        <v>0</v>
      </c>
      <c r="AM18" s="932">
        <f t="shared" si="5"/>
        <v>0</v>
      </c>
      <c r="AN18" s="932">
        <f t="shared" si="5"/>
        <v>0</v>
      </c>
      <c r="AO18" s="934">
        <f>IF(ISNUMBER(((NºAsuntos!I18/NºAsuntos!G18)*11)/factor_trimestre),((NºAsuntos!I18/NºAsuntos!G18)*11)/factor_trimestre," - ")</f>
        <v>4.1902540176257128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7084</v>
      </c>
      <c r="G19" s="820">
        <f t="shared" si="7"/>
        <v>7343</v>
      </c>
      <c r="H19" s="821">
        <f t="shared" si="7"/>
        <v>0</v>
      </c>
      <c r="I19" s="820">
        <f t="shared" si="7"/>
        <v>0</v>
      </c>
      <c r="J19" s="822">
        <f t="shared" si="7"/>
        <v>0</v>
      </c>
      <c r="K19" s="820">
        <f t="shared" si="7"/>
        <v>0</v>
      </c>
      <c r="L19" s="823">
        <f t="shared" si="7"/>
        <v>0</v>
      </c>
      <c r="M19" s="820">
        <f t="shared" si="7"/>
        <v>0</v>
      </c>
      <c r="N19" s="821">
        <f t="shared" si="7"/>
        <v>1901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3899</v>
      </c>
      <c r="Z19" s="827">
        <f t="shared" si="8"/>
        <v>1031</v>
      </c>
      <c r="AA19" s="828">
        <f t="shared" si="8"/>
        <v>8261</v>
      </c>
      <c r="AB19" s="828">
        <f t="shared" si="8"/>
        <v>0</v>
      </c>
      <c r="AC19" s="828">
        <f t="shared" si="8"/>
        <v>0</v>
      </c>
      <c r="AD19" s="829">
        <f t="shared" si="8"/>
        <v>0</v>
      </c>
      <c r="AE19" s="829">
        <f t="shared" si="8"/>
        <v>17217</v>
      </c>
      <c r="AF19" s="830">
        <f t="shared" si="8"/>
        <v>0</v>
      </c>
      <c r="AG19" s="831">
        <f t="shared" si="8"/>
        <v>0</v>
      </c>
      <c r="AH19" s="832">
        <f t="shared" si="8"/>
        <v>0</v>
      </c>
      <c r="AI19" s="830">
        <f t="shared" si="8"/>
        <v>0</v>
      </c>
      <c r="AJ19" s="820">
        <f t="shared" si="8"/>
        <v>1156</v>
      </c>
      <c r="AK19" s="820">
        <f t="shared" si="8"/>
        <v>4007</v>
      </c>
      <c r="AL19" s="820">
        <f t="shared" si="8"/>
        <v>0</v>
      </c>
      <c r="AM19" s="833">
        <f t="shared" si="8"/>
        <v>0</v>
      </c>
      <c r="AN19" s="823">
        <f>IF(ISNUMBER(Datos!K19/Datos!J19),Datos!K19/Datos!J19," - ")</f>
        <v>0.88393859977536504</v>
      </c>
      <c r="AO19" s="823">
        <f>IF(ISNUMBER(FIND("06",Criterios!A8,1)),(IF(ISNUMBER(((Datos!R19/Datos!Q19)*11)/factor_trimestre),((Datos!R19/Datos!Q19)*11)/factor_trimestre," - ")),(IF(ISNUMBER(((Datos!L19/Datos!K19)*11)/factor_trimestre),((Datos!L19/Datos!K19)*11)/factor_trimestre," - ")))</f>
        <v>5.0286601722433995</v>
      </c>
      <c r="AP19" s="834" t="str">
        <f>IF(ISNUMBER(Datos!CI19/Datos!CJ19),Datos!CI19/Datos!CJ19," - ")</f>
        <v xml:space="preserve"> - </v>
      </c>
      <c r="AQ19" s="834">
        <f>IF(OR(ISNUMBER(FIND("01",Criterios!A8,1)),ISNUMBER(FIND("02",Criterios!A8,1)),ISNUMBER(FIND("03",Criterios!A8,1)),ISNUMBER(FIND("04",Criterios!A8,1))),(J19-Y19+K19)/(F19-K19),(I19-Y19+K19)/(F19-K19))</f>
        <v>-0.55039525691699609</v>
      </c>
      <c r="AR19" s="834">
        <f>IF(ISNUMBER((Datos!P19-Datos!Q19+O19)/(Datos!R19-Datos!P19+Datos!Q19-O19)),(Datos!P19-Datos!Q19+O19)/(Datos!R19-Datos!P19+Datos!Q19-O19)," - ")</f>
        <v>5.3220774454028265E-2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3914.4348251056626</v>
      </c>
      <c r="G21" s="552">
        <f>IF(ISNUMBER(STDEV(G8:G18)),STDEV(G8:G18),"-")</f>
        <v>3759.243634030654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297.8510333962904</v>
      </c>
      <c r="AK21" s="252"/>
      <c r="AL21" s="252">
        <f>IF(ISNUMBER(STDEV(AL8:AL18)),STDEV(AL8:AL18),"-")</f>
        <v>0</v>
      </c>
      <c r="AM21" s="254">
        <f>IF(ISNUMBER(STDEV(AM8:AM18)),STDEV(AM8:AM18),"-")</f>
        <v>0</v>
      </c>
      <c r="AN21" s="539">
        <f>IF(ISNUMBER(STDEV(AN8:AN18)),STDEV(AN8:AN18),"-")</f>
        <v>0</v>
      </c>
      <c r="AO21" s="540">
        <f>IF(ISNUMBER(STDEV(AO8:AO18)),STDEV(AO8:AO18),"-")</f>
        <v>1.8406942017784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i0MPWVqLDmmOEXtkHJriTFhzr0miRfqZ20Bl6m0dHHStqxDt5W5f9Ut4FeERaP260PlRwkntRir0o27ZohhA==" saltValue="kk7tc2jKSbgwFMSq45fW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8qsMeja09qmPLeyuF9r0NhGaOll0VxApF5NvOYUXEAyYde3lr3ebklT5vk0HSnHzlUdqAMkevSxlVbNDZFyYw==" saltValue="ngV0gzrleJYwvA34s8b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wliOWSt1SkqQn/ps8ZpT8v1uzbrXh2uh1IP8DP3jw5Fob3UttyY3a4fVobtgT64bv0jSRb9DubusZK69gLkQ==" saltValue="kWjKuV+pLbsjkc7ynKV5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0.21888662197610026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0.15477621471031688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xiLYlP21pN02LYOkOQ/Hh0cPvQbfgqkQvyiWA/D21ArqnkKK8ugBBagdXjWLgdcBugqRxbJFxh6YJnNntv9Dg==" saltValue="Xb4xdPcXFvku7h/d+hcD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hw52YAQDWs/RnTdhWo6StSN8nCdxfSxyD3+jtgCMt8Rj/rViFaQHhIv/z79DUT42Zx1KYfZifP78vw6uGVWQ==" saltValue="d1xdgcRESvJOKqxB6C3w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GRANOLLERS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8868</v>
      </c>
      <c r="D9" s="404">
        <f>IF(ISNUMBER(C9/Datos!BH9),C9/Datos!BH9," - ")</f>
        <v>1108.5</v>
      </c>
      <c r="E9" s="403">
        <f>IF(ISNUMBER(IF(J_V="SI",Datos!J9,Datos!J9+Datos!Z9)),IF(J_V="SI",Datos!J9,Datos!J9+Datos!Z9)," - ")</f>
        <v>2853</v>
      </c>
      <c r="F9" s="404">
        <f>IF(ISNUMBER(E9/B9),E9/B9," - ")</f>
        <v>356.625</v>
      </c>
      <c r="G9" s="403">
        <f>IF(ISNUMBER(IF(J_V="SI",Datos!K9,Datos!K9+Datos!AA9)),IF(J_V="SI",Datos!K9,Datos!K9+Datos!AA9)," - ")</f>
        <v>2898</v>
      </c>
      <c r="H9" s="404">
        <f>IF(ISNUMBER(G9/B9),G9/B9," - ")</f>
        <v>362.25</v>
      </c>
      <c r="I9" s="403">
        <f>IF(ISNUMBER(IF(J_V="SI",Datos!L9,Datos!L9+Datos!AB9)),IF(J_V="SI",Datos!L9,Datos!L9+Datos!AB9)," - ")</f>
        <v>8823</v>
      </c>
      <c r="J9" s="404">
        <f>IF(ISNUMBER(I9/B9),I9/B9," - ")</f>
        <v>1102.875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152</v>
      </c>
      <c r="D10" s="404">
        <f>IF(ISNUMBER(C10/Datos!BH10),C10/Datos!BH10," - ")</f>
        <v>152</v>
      </c>
      <c r="E10" s="403">
        <f>IF(ISNUMBER(Datos!J10),Datos!J10," - ")</f>
        <v>67</v>
      </c>
      <c r="F10" s="404">
        <f>IF(ISNUMBER(E10/B10),E10/B10," - ")</f>
        <v>67</v>
      </c>
      <c r="G10" s="403">
        <f>IF(ISNUMBER(Datos!K10),Datos!K10," - ")</f>
        <v>41</v>
      </c>
      <c r="H10" s="404">
        <f>IF(ISNUMBER(G10/B10),G10/B10," - ")</f>
        <v>41</v>
      </c>
      <c r="I10" s="403">
        <f>IF(ISNUMBER(Datos!L10),Datos!L10," - ")</f>
        <v>178</v>
      </c>
      <c r="J10" s="404">
        <f>IF(ISNUMBER(I10/B10),I10/B10," - ")</f>
        <v>178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971</v>
      </c>
      <c r="D11" s="404">
        <f>IF(ISNUMBER(C11/Datos!BH11),C11/Datos!BH11," - ")</f>
        <v>485.5</v>
      </c>
      <c r="E11" s="403">
        <f>IF(ISNUMBER(IF(J_V="SI",Datos!J11,Datos!J11+Datos!Z11)),IF(J_V="SI",Datos!J11,Datos!J11+Datos!Z11)," - ")</f>
        <v>562</v>
      </c>
      <c r="F11" s="404">
        <f>IF(ISNUMBER(E11/B11),E11/B11," - ")</f>
        <v>281</v>
      </c>
      <c r="G11" s="403">
        <f>IF(ISNUMBER(IF(J_V="SI",Datos!K11,Datos!K11+Datos!AA11)),IF(J_V="SI",Datos!K11,Datos!K11+Datos!AA11)," - ")</f>
        <v>492</v>
      </c>
      <c r="H11" s="404">
        <f>IF(ISNUMBER(G11/B11),G11/B11," - ")</f>
        <v>246</v>
      </c>
      <c r="I11" s="403">
        <f>IF(ISNUMBER(IF(J_V="SI",Datos!L11,Datos!L11+Datos!AB11)),IF(J_V="SI",Datos!L11,Datos!L11+Datos!AB11)," - ")</f>
        <v>961</v>
      </c>
      <c r="J11" s="404">
        <f>IF(ISNUMBER(I11/B11),I11/B11," - ")</f>
        <v>480.5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9991</v>
      </c>
      <c r="D13" s="850" t="str">
        <f>IF(ISNUMBER(C13/Datos!BI13),C13/Datos!BI13," - ")</f>
        <v xml:space="preserve"> - </v>
      </c>
      <c r="E13" s="849">
        <f>SUBTOTAL(9,E8:E12)</f>
        <v>3482</v>
      </c>
      <c r="F13" s="850">
        <f>IF(ISNUMBER(E13/B13),E13/B13," - ")</f>
        <v>316.54545454545456</v>
      </c>
      <c r="G13" s="849">
        <f>SUBTOTAL(9,G8:G12)</f>
        <v>3431</v>
      </c>
      <c r="H13" s="850">
        <f>IF(ISNUMBER(G13/B13),G13/B13," - ")</f>
        <v>311.90909090909093</v>
      </c>
      <c r="I13" s="849">
        <f>SUBTOTAL(9,I8:I12)</f>
        <v>9962</v>
      </c>
      <c r="J13" s="850">
        <f>IF(ISNUMBER(I13/B13),I13/B13," - ")</f>
        <v>905.63636363636363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6916</v>
      </c>
      <c r="D15" s="404">
        <f>IF(ISNUMBER(C15/Datos!BH15),C15/Datos!BH15," - ")</f>
        <v>1729</v>
      </c>
      <c r="E15" s="403">
        <f>IF(ISNUMBER(IF(D_I="SI",Datos!J15,Datos!J15+Datos!AD15)),IF(D_I="SI",Datos!J15,Datos!J15+Datos!AD15)," - ")</f>
        <v>4442</v>
      </c>
      <c r="F15" s="404">
        <f>IF(ISNUMBER(E15/B15),E15/B15," - ")</f>
        <v>1110.5</v>
      </c>
      <c r="G15" s="403">
        <f>IF(ISNUMBER(IF(D_I="SI",Datos!K15,Datos!K15+Datos!AE15)),IF(D_I="SI",Datos!K15,Datos!K15+Datos!AE15)," - ")</f>
        <v>3646</v>
      </c>
      <c r="H15" s="404">
        <f>IF(ISNUMBER(G15/B15),G15/B15," - ")</f>
        <v>911.5</v>
      </c>
      <c r="I15" s="403">
        <f>IF(ISNUMBER(IF(D_I="SI",Datos!L15,Datos!L15+Datos!AF15)),IF(D_I="SI",Datos!L15,Datos!L15+Datos!AF15)," - ")</f>
        <v>7728</v>
      </c>
      <c r="J15" s="404">
        <f>IF(ISNUMBER(I15/B15),I15/B15," - ")</f>
        <v>1932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275</v>
      </c>
      <c r="D17" s="404">
        <f>IF(ISNUMBER(C17/Datos!BH17),C17/Datos!BH17," - ")</f>
        <v>275</v>
      </c>
      <c r="E17" s="403">
        <f>IF(ISNUMBER(IF(D_I="SI",Datos!J17,Datos!J17+Datos!AD17)),IF(D_I="SI",Datos!J17,Datos!J17+Datos!AD17)," - ")</f>
        <v>288</v>
      </c>
      <c r="F17" s="404">
        <f>IF(ISNUMBER(E17/B17),E17/B17," - ")</f>
        <v>288</v>
      </c>
      <c r="G17" s="403">
        <f>IF(ISNUMBER(IF(D_I="SI",Datos!K17,Datos!K17+Datos!AE17)),IF(D_I="SI",Datos!K17,Datos!K17+Datos!AE17)," - ")</f>
        <v>212</v>
      </c>
      <c r="H17" s="404">
        <f>IF(ISNUMBER(G17/B17),G17/B17," - ")</f>
        <v>212</v>
      </c>
      <c r="I17" s="403">
        <f>IF(ISNUMBER(IF(D_I="SI",Datos!L17,Datos!L17+Datos!AF17)),IF(D_I="SI",Datos!L17,Datos!L17+Datos!AF17)," - ")</f>
        <v>355</v>
      </c>
      <c r="J17" s="404">
        <f>IF(ISNUMBER(I17/B17),I17/B17," - ")</f>
        <v>355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7191</v>
      </c>
      <c r="D18" s="850" t="str">
        <f>IF(ISNUMBER(C18/Datos!BI18),C18/Datos!BI18," - ")</f>
        <v xml:space="preserve"> - </v>
      </c>
      <c r="E18" s="849">
        <f>SUBTOTAL(9,E14:E17)</f>
        <v>4730</v>
      </c>
      <c r="F18" s="850">
        <f>IF(ISNUMBER(E18/B18),E18/B18," - ")</f>
        <v>946</v>
      </c>
      <c r="G18" s="849">
        <f>SUBTOTAL(9,G14:G17)</f>
        <v>3858</v>
      </c>
      <c r="H18" s="850">
        <f>IF(ISNUMBER(G18/B18),G18/B18," - ")</f>
        <v>771.6</v>
      </c>
      <c r="I18" s="849">
        <f>SUBTOTAL(9,I14:I17)</f>
        <v>8083</v>
      </c>
      <c r="J18" s="850">
        <f>IF(ISNUMBER(I18/B18),I18/B18," - ")</f>
        <v>1616.6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17182</v>
      </c>
      <c r="D19" s="795" t="str">
        <f>IF(ISNUMBER(C19/Datos!BI19),C19/Datos!BI19," - ")</f>
        <v xml:space="preserve"> - </v>
      </c>
      <c r="E19" s="794">
        <f>SUBTOTAL(9,E9:E18)</f>
        <v>8212</v>
      </c>
      <c r="F19" s="795">
        <f>IF(ISNUMBER(E19/B19),E19/B19," - ")</f>
        <v>547.4666666666667</v>
      </c>
      <c r="G19" s="794">
        <f>SUBTOTAL(9,G9:G18)</f>
        <v>7289</v>
      </c>
      <c r="H19" s="795">
        <f>IF(ISNUMBER(G19/B19),G19/B19," - ")</f>
        <v>485.93333333333334</v>
      </c>
      <c r="I19" s="794">
        <f>SUBTOTAL(9,I9:I18)</f>
        <v>18045</v>
      </c>
      <c r="J19" s="795">
        <f>IF(ISNUMBER(I19/B19),I19/B19," - ")</f>
        <v>1203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2rRuHcnOIKH9fMKZ6gEooxmcL5jyUCwshImG3ro26VKtzK6/z5ua48ocA8Q+V7jKqtpEo6U+UnFt04AXD3YsA==" saltValue="q49L060Boxwv75MR9/nK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GRANOLLERS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152</v>
      </c>
      <c r="G10" s="684">
        <f>IF(ISNUMBER(Datos!I10),Datos!I10," - ")</f>
        <v>152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178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8.6829268292682933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152</v>
      </c>
      <c r="G13" s="938">
        <f t="shared" si="0"/>
        <v>152</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0</v>
      </c>
      <c r="AE13" s="939">
        <f t="shared" si="1"/>
        <v>0</v>
      </c>
      <c r="AF13" s="939">
        <f t="shared" si="1"/>
        <v>178</v>
      </c>
      <c r="AG13" s="939">
        <f t="shared" si="1"/>
        <v>0</v>
      </c>
      <c r="AH13" s="939">
        <f t="shared" si="1"/>
        <v>0</v>
      </c>
      <c r="AI13" s="939">
        <f t="shared" si="1"/>
        <v>0</v>
      </c>
      <c r="AJ13" s="939">
        <f t="shared" si="1"/>
        <v>0</v>
      </c>
      <c r="AK13" s="939">
        <f t="shared" si="1"/>
        <v>0</v>
      </c>
      <c r="AL13" s="939">
        <f t="shared" si="1"/>
        <v>6</v>
      </c>
      <c r="AM13" s="939">
        <f t="shared" si="1"/>
        <v>10</v>
      </c>
      <c r="AN13" s="939">
        <f t="shared" si="1"/>
        <v>0</v>
      </c>
      <c r="AO13" s="939">
        <f t="shared" si="1"/>
        <v>0</v>
      </c>
      <c r="AP13" s="944">
        <f>IF(ISNUMBER(((Datos!L13/Datos!K13)*11)/factor_trimestre),((Datos!L13/Datos!K13)*11)/factor_trimestre," - ")</f>
        <v>6.0316279069767438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-0.26973684210526316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4.1902540176257128</v>
      </c>
      <c r="AQ18" s="944">
        <f>IF(ISNUMBER(((Datos!M18/Datos!L18)*11)/factor_trimestre),((Datos!M18/Datos!L18)*11)/factor_trimestre," - ")</f>
        <v>0.10021031795125572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2.6737967914438501E-3</v>
      </c>
      <c r="AW18" s="946">
        <f>IF(ISNUMBER((Datos!Q18-Datos!R18)/(Datos!S18-Datos!Q18+Datos!R18)),(Datos!Q18-Datos!R18)/(Datos!S18-Datos!Q18+Datos!R18)," - ")</f>
        <v>-4.4736842105263158E-2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152</v>
      </c>
      <c r="G19" s="951">
        <f t="shared" si="4"/>
        <v>152</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0</v>
      </c>
      <c r="AE19" s="957">
        <f t="shared" si="5"/>
        <v>0</v>
      </c>
      <c r="AF19" s="958">
        <f t="shared" si="5"/>
        <v>178</v>
      </c>
      <c r="AG19" s="958">
        <f t="shared" si="5"/>
        <v>0</v>
      </c>
      <c r="AH19" s="958">
        <f t="shared" si="5"/>
        <v>0</v>
      </c>
      <c r="AI19" s="958">
        <f t="shared" si="5"/>
        <v>0</v>
      </c>
      <c r="AJ19" s="959">
        <f t="shared" si="5"/>
        <v>0</v>
      </c>
      <c r="AK19" s="959">
        <f t="shared" si="5"/>
        <v>0</v>
      </c>
      <c r="AL19" s="951">
        <f t="shared" si="5"/>
        <v>6</v>
      </c>
      <c r="AM19" s="951">
        <f t="shared" si="5"/>
        <v>10</v>
      </c>
      <c r="AN19" s="951">
        <f t="shared" si="5"/>
        <v>0</v>
      </c>
      <c r="AO19" s="951">
        <f t="shared" si="5"/>
        <v>0</v>
      </c>
      <c r="AP19" s="951">
        <f>IF(ISNUMBER(((Datos!L19/Datos!K19)*11)/factor_trimestre),((Datos!L19/Datos!K19)*11)/factor_trimestre," - ")</f>
        <v>5.0286601722433995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-0.26973684210526316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5.3220774454028265E-2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87.757240916823122</v>
      </c>
      <c r="G21" s="737">
        <f>IF(ISNUMBER(STDEV(G8:G18)),STDEV(G8:G18),"-")</f>
        <v>87.757240916823122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3.4641016151377544</v>
      </c>
      <c r="AM21" s="736"/>
      <c r="AN21" s="736">
        <f>IF(ISNUMBER(STDEV(AN8:AN18)),STDEV(AN8:AN18),"-")</f>
        <v>0</v>
      </c>
      <c r="AO21" s="742">
        <f>IF(ISNUMBER(STDEV(AO8:AO18)),STDEV(AO8:AO18),"-")</f>
        <v>0</v>
      </c>
      <c r="AP21" s="779">
        <f>IF(ISNUMBER(STDEV(AP8:AP18)),STDEV(AP8:AP18),"-")</f>
        <v>2.2584711926507768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xlCrFyQq8fw+7iqG22I2jUxhciiG5K5+6w4gAaIiGbCfIhz6ZPdlbteyq8aGgskFLEbJmkYus6jL0mml7gg4g==" saltValue="BaJrpejyCFdqpZP2UK1W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GRANOLLERS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gBiHKeJVM6ltlxHxdD5Et8yNtt8fxyMaXtNW5R2tKhCn37mtlMGEXkWMYxvowT5hJGNKPUo0ozLy892jw9vFg==" saltValue="PRSEWR4QTfkcvR/lhwo0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GRANOLLERS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644</v>
      </c>
      <c r="E9" s="404">
        <f t="shared" ref="E9:E13" si="0">IF(ISNUMBER(D9/B9),D9/B9," - ")</f>
        <v>80.5</v>
      </c>
      <c r="F9" s="403">
        <f>IF(ISNUMBER(Datos!N9),Datos!N9," - ")</f>
        <v>1284</v>
      </c>
      <c r="G9" s="404">
        <f t="shared" ref="G9:G13" si="1">IF(ISNUMBER(F9/B9),F9/B9," - ")</f>
        <v>160.5</v>
      </c>
      <c r="H9" s="403">
        <f>IF(ISNUMBER(Datos!O9),Datos!O9," - ")</f>
        <v>1344</v>
      </c>
      <c r="I9" s="404">
        <f>IF(ISNUMBER(H9/B9),H9/B9," - ")</f>
        <v>168</v>
      </c>
      <c r="BZ9" s="1186">
        <f>Datos!EZ9</f>
        <v>0</v>
      </c>
    </row>
    <row r="10" spans="1:78">
      <c r="A10" s="402" t="str">
        <f>Datos!A10</f>
        <v>Jdos. Violencia contra la mujer</v>
      </c>
      <c r="B10" s="427">
        <f>Datos!AO10</f>
        <v>1</v>
      </c>
      <c r="C10" s="410">
        <f>Datos!AQ10</f>
        <v>1</v>
      </c>
      <c r="D10" s="403">
        <f>IF(ISNUMBER(Datos!M10),Datos!M10," - ")</f>
        <v>6</v>
      </c>
      <c r="E10" s="404">
        <f>IF(ISNUMBER(D10/B10),D10/B10," - ")</f>
        <v>6</v>
      </c>
      <c r="F10" s="403">
        <f>IF(ISNUMBER(Datos!N10),Datos!N10," - ")</f>
        <v>10</v>
      </c>
      <c r="G10" s="404">
        <f>IF(ISNUMBER(F10/B10),F10/B10," - ")</f>
        <v>10</v>
      </c>
      <c r="H10" s="403">
        <f>IF(ISNUMBER(Datos!O10),Datos!O10," - ")</f>
        <v>19</v>
      </c>
      <c r="I10" s="404">
        <f t="shared" ref="I10:I12" si="2">IF(ISNUMBER(H10/B10),H10/B10," - ")</f>
        <v>19</v>
      </c>
      <c r="BZ10" s="1186">
        <f>Datos!EZ10</f>
        <v>0</v>
      </c>
    </row>
    <row r="11" spans="1:78">
      <c r="A11" s="402" t="str">
        <f>Datos!A11</f>
        <v xml:space="preserve">Jdos. Familia                                   </v>
      </c>
      <c r="B11" s="427">
        <f>Datos!AO11</f>
        <v>2</v>
      </c>
      <c r="C11" s="410">
        <f>Datos!AQ11</f>
        <v>2</v>
      </c>
      <c r="D11" s="403">
        <f>IF(ISNUMBER(Datos!M11),Datos!M11," - ")</f>
        <v>101</v>
      </c>
      <c r="E11" s="404">
        <f t="shared" si="0"/>
        <v>50.5</v>
      </c>
      <c r="F11" s="403">
        <f>IF(ISNUMBER(Datos!N11),Datos!N11," - ")</f>
        <v>258</v>
      </c>
      <c r="G11" s="404">
        <f t="shared" si="1"/>
        <v>129</v>
      </c>
      <c r="H11" s="403">
        <f>IF(ISNUMBER(Datos!O11),Datos!O11," - ")</f>
        <v>119</v>
      </c>
      <c r="I11" s="404">
        <f t="shared" si="2"/>
        <v>59.5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751</v>
      </c>
      <c r="E13" s="850">
        <f t="shared" si="0"/>
        <v>68.272727272727266</v>
      </c>
      <c r="F13" s="849">
        <f>SUBTOTAL(9,F9:F12)</f>
        <v>1552</v>
      </c>
      <c r="G13" s="850">
        <f t="shared" si="1"/>
        <v>141.09090909090909</v>
      </c>
      <c r="H13" s="849">
        <f>SUBTOTAL(9,H9:H12)</f>
        <v>1482</v>
      </c>
      <c r="I13" s="850">
        <f>IF(ISNUMBER(H13/B13),H13/B13," - ")</f>
        <v>134.72727272727272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377</v>
      </c>
      <c r="E15" s="404">
        <f t="shared" ref="E15:E18" si="3">IF(ISNUMBER(D15/B15),D15/B15," - ")</f>
        <v>94.25</v>
      </c>
      <c r="F15" s="403">
        <f>IF(ISNUMBER(Datos!N15),Datos!N15," - ")</f>
        <v>2300</v>
      </c>
      <c r="G15" s="404">
        <f t="shared" ref="G15:G18" si="4">IF(ISNUMBER(F15/B15),F15/B15," - ")</f>
        <v>575</v>
      </c>
      <c r="H15" s="403">
        <f>IF(ISNUMBER(Datos!O15),Datos!O15," - ")</f>
        <v>61</v>
      </c>
      <c r="I15" s="404">
        <f t="shared" ref="I15:I17" si="5">IF(ISNUMBER(H15/B15),H15/B15," - ")</f>
        <v>15.25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28</v>
      </c>
      <c r="E17" s="404">
        <f>IF(ISNUMBER(D17/B17),D17/B17," - ")</f>
        <v>28</v>
      </c>
      <c r="F17" s="403">
        <f>IF(ISNUMBER(Datos!N17),Datos!N17," - ")</f>
        <v>155</v>
      </c>
      <c r="G17" s="404">
        <f>IF(ISNUMBER(F17/B17),F17/B17," - ")</f>
        <v>155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405</v>
      </c>
      <c r="E18" s="850">
        <f t="shared" si="3"/>
        <v>81</v>
      </c>
      <c r="F18" s="849">
        <f>SUBTOTAL(9,F15:F17)</f>
        <v>2455</v>
      </c>
      <c r="G18" s="850">
        <f t="shared" si="4"/>
        <v>491</v>
      </c>
      <c r="H18" s="849">
        <f>SUBTOTAL(9,H15:H17)</f>
        <v>61</v>
      </c>
      <c r="I18" s="850">
        <f>IF(ISNUMBER(H18/B18),H18/B18," - ")</f>
        <v>12.2</v>
      </c>
      <c r="BZ18" s="1186"/>
    </row>
    <row r="19" spans="1:78" ht="14.25" thickTop="1" thickBot="1">
      <c r="A19" s="793" t="str">
        <f>Datos!A19</f>
        <v>TOTAL JURISDICCIONES</v>
      </c>
      <c r="B19" s="794">
        <f>Datos!AP19</f>
        <v>15</v>
      </c>
      <c r="C19" s="794">
        <f>Datos!AR19</f>
        <v>15</v>
      </c>
      <c r="D19" s="794">
        <f>SUBTOTAL(9,D8:D18)</f>
        <v>1156</v>
      </c>
      <c r="E19" s="795">
        <f>IF(ISNUMBER(D19/B19),D19/B19," - ")</f>
        <v>77.066666666666663</v>
      </c>
      <c r="F19" s="794">
        <f>SUBTOTAL(9,F8:F18)</f>
        <v>4007</v>
      </c>
      <c r="G19" s="795">
        <f>IF(ISNUMBER(F19/B19),F19/B19," - ")</f>
        <v>267.13333333333333</v>
      </c>
      <c r="H19" s="794">
        <f>SUBTOTAL(9,H8:H18)</f>
        <v>1543</v>
      </c>
      <c r="I19" s="795">
        <f>IF(ISNUMBER(H19/B19),H19/B19," - ")</f>
        <v>102.86666666666666</v>
      </c>
    </row>
    <row r="22" spans="1:78">
      <c r="A22" s="391" t="str">
        <f>Criterios!A4</f>
        <v>Fecha Informe: 29 nov. 2024</v>
      </c>
    </row>
    <row r="27" spans="1:78">
      <c r="A27" s="414"/>
    </row>
  </sheetData>
  <sheetProtection algorithmName="SHA-512" hashValue="oofwM0q3F3nGv/3FydbG01nNkkNXHJq0I8x1IfXkgzP6WGMAUI/5EFyY32h9e0Ev8G9MwkWXty+iNrAv8a1etg==" saltValue="5PgAmRJPIApXA7mBzGC/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GRANOLLERS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1756</v>
      </c>
      <c r="C9" s="434">
        <f>IF(ISNUMBER(Datos!Q9),Datos!Q9," - ")</f>
        <v>908</v>
      </c>
      <c r="D9" s="408">
        <f>IF(ISNUMBER(Datos!R9),Datos!R9," - ")</f>
        <v>15980</v>
      </c>
    </row>
    <row r="10" spans="1:4">
      <c r="A10" s="402" t="str">
        <f>Datos!A10</f>
        <v>Jdos. Violencia contra la mujer</v>
      </c>
      <c r="B10" s="433">
        <f>IF(ISNUMBER(Datos!P10),Datos!P10," - ")</f>
        <v>13</v>
      </c>
      <c r="C10" s="434">
        <f>IF(ISNUMBER(Datos!Q10),Datos!Q10," - ")</f>
        <v>7</v>
      </c>
      <c r="D10" s="408">
        <f>IF(ISNUMBER(Datos!R10),Datos!R10," - ")</f>
        <v>109</v>
      </c>
    </row>
    <row r="11" spans="1:4">
      <c r="A11" s="402" t="str">
        <f>Datos!A11</f>
        <v xml:space="preserve">Jdos. Familia                                   </v>
      </c>
      <c r="B11" s="433">
        <f>IF(ISNUMBER(Datos!P11),Datos!P11," - ")</f>
        <v>62</v>
      </c>
      <c r="C11" s="434">
        <f>IF(ISNUMBER(Datos!Q11),Datos!Q11," - ")</f>
        <v>47</v>
      </c>
      <c r="D11" s="408">
        <f>IF(ISNUMBER(Datos!R11),Datos!R11," - ")</f>
        <v>753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1831</v>
      </c>
      <c r="C13" s="853">
        <f>SUBTOTAL(9,C9:C12)</f>
        <v>962</v>
      </c>
      <c r="D13" s="851">
        <f>SUBTOTAL(9,D9:D12)</f>
        <v>16842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67</v>
      </c>
      <c r="C15" s="434">
        <f>IF(ISNUMBER(Datos!Q15),Datos!Q15," - ")</f>
        <v>69</v>
      </c>
      <c r="D15" s="408">
        <f>IF(ISNUMBER(Datos!R15),Datos!R15," - ")</f>
        <v>365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0</v>
      </c>
      <c r="D17" s="408">
        <f>IF(ISNUMBER(Datos!R17),Datos!R17," - ")</f>
        <v>10</v>
      </c>
    </row>
    <row r="18" spans="1:4" ht="14.25" thickTop="1" thickBot="1">
      <c r="A18" s="848" t="str">
        <f>Datos!A18</f>
        <v>TOTAL</v>
      </c>
      <c r="B18" s="849">
        <f>SUBTOTAL(9,B15:B17)</f>
        <v>70</v>
      </c>
      <c r="C18" s="853">
        <f>SUBTOTAL(9,C15:C17)</f>
        <v>69</v>
      </c>
      <c r="D18" s="851">
        <f>SUBTOTAL(9,D15:D17)</f>
        <v>375</v>
      </c>
    </row>
    <row r="19" spans="1:4" ht="16.5" customHeight="1" thickTop="1" thickBot="1">
      <c r="A19" s="793" t="str">
        <f>Datos!A19</f>
        <v>TOTAL JURISDICCIONES</v>
      </c>
      <c r="B19" s="798">
        <f>SUBTOTAL(9,B8:B18)</f>
        <v>1901</v>
      </c>
      <c r="C19" s="799">
        <f>SUBTOTAL(9,C8:C18)</f>
        <v>1031</v>
      </c>
      <c r="D19" s="800">
        <f>SUBTOTAL(9,D8:D18)</f>
        <v>17217</v>
      </c>
    </row>
    <row r="20" spans="1:4" ht="7.5" customHeight="1"/>
    <row r="21" spans="1:4" ht="6" customHeight="1"/>
    <row r="22" spans="1:4">
      <c r="A22" s="391" t="str">
        <f>Criterios!A4</f>
        <v>Fecha Informe: 29 nov. 2024</v>
      </c>
    </row>
    <row r="27" spans="1:4">
      <c r="A27" s="414"/>
    </row>
  </sheetData>
  <sheetProtection algorithmName="SHA-512" hashValue="Pv4aQXKus3gaY2Tq8q8ED7HiyVePYkljgQx6dM9sMg1qMcpFNfE3ZPlbgFDh94YAG/HtlwVIMyaiJHzUEviQ4A==" saltValue="1S2ShAvWlfK3c9JA/d4f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GRANOLLERS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4.2313117066290547E-2</v>
      </c>
      <c r="C9" s="456">
        <f>IF(ISNUMBER(
   IF(J_V="SI",(Datos!J9-Datos!T9)/Datos!T9,(Datos!J9+Datos!Z9-(Datos!T9+Datos!AH9))/(Datos!T9+Datos!AH9))
     ),IF(J_V="SI",(Datos!J9-Datos!T9)/Datos!T9,(Datos!J9+Datos!Z9-(Datos!T9+Datos!AH9))/(Datos!T9+Datos!AH9))," - ")</f>
        <v>-0.15691489361702127</v>
      </c>
      <c r="D9" s="456">
        <f>IF(ISNUMBER(
   IF(J_V="SI",(Datos!K9-Datos!U9)/Datos!U9,(Datos!K9+Datos!AA9-(Datos!U9+Datos!AI9))/(Datos!U9+Datos!AI9))
     ),IF(J_V="SI",(Datos!K9-Datos!U9)/Datos!U9,(Datos!K9+Datos!AA9-(Datos!U9+Datos!AI9))/(Datos!U9+Datos!AI9))," - ")</f>
        <v>4.8480463096960927E-2</v>
      </c>
      <c r="E9" s="456">
        <f>IF(ISNUMBER(
   IF(J_V="SI",(Datos!L9-Datos!V9)/Datos!V9,(Datos!L9+Datos!AB9-(Datos!V9+Datos!AJ9))/(Datos!V9+Datos!AJ9))
     ),IF(J_V="SI",(Datos!L9-Datos!V9)/Datos!V9,(Datos!L9+Datos!AB9-(Datos!V9+Datos!AJ9))/(Datos!V9+Datos!AJ9))," - ")</f>
        <v>-3.5843077259315924E-2</v>
      </c>
      <c r="F9" s="456">
        <f>IF(ISNUMBER((Datos!M9-Datos!W9)/Datos!W9),(Datos!M9-Datos!W9)/Datos!W9," - ")</f>
        <v>0.13181019332161686</v>
      </c>
      <c r="G9" s="457">
        <f>IF(ISNUMBER((Datos!N9-Datos!X9)/Datos!X9),(Datos!N9-Datos!X9)/Datos!X9," - ")</f>
        <v>2.4740622505985636E-2</v>
      </c>
      <c r="H9" s="455">
        <f>IF(ISNUMBER(((NºAsuntos!G9/NºAsuntos!E9)-Datos!BD9)/Datos!BD9),((NºAsuntos!G9/NºAsuntos!E9)-Datos!BD9)/Datos!BD9," - ")</f>
        <v>0.24362351458819326</v>
      </c>
      <c r="I9" s="456">
        <f>IF(ISNUMBER(((NºAsuntos!I9/NºAsuntos!G9)-Datos!BE9)/Datos!BE9),((NºAsuntos!I9/NºAsuntos!G9)-Datos!BE9)/Datos!BE9," - ")</f>
        <v>-8.0424522272170243E-2</v>
      </c>
      <c r="J9" s="461">
        <f>IF(ISNUMBER((('Resol  Asuntos'!D9/NºAsuntos!G9)-Datos!BF9)/Datos!BF9),(('Resol  Asuntos'!D9/NºAsuntos!G9)-Datos!BF9)/Datos!BF9," - ")</f>
        <v>-0.50979870532943161</v>
      </c>
      <c r="K9" s="462">
        <f>IF(ISNUMBER((((NºAsuntos!C9+NºAsuntos!E9)/NºAsuntos!G9)-Datos!BG9)/Datos!BG9),(((NºAsuntos!C9+NºAsuntos!E9)/NºAsuntos!G9)-Datos!BG9)/Datos!BG9," - ")</f>
        <v>-5.9953313430258122E-2</v>
      </c>
    </row>
    <row r="10" spans="1:11">
      <c r="A10" s="402" t="str">
        <f>Datos!A10</f>
        <v>Jdos. Violencia contra la mujer</v>
      </c>
      <c r="B10" s="455">
        <f>IF(ISNUMBER((Datos!I10-Datos!S10)/Datos!S10),(Datos!I10-Datos!S10)/Datos!S10," - ")</f>
        <v>1.4126984126984128</v>
      </c>
      <c r="C10" s="456">
        <f>IF(ISNUMBER((Datos!J10-Datos!T10)/Datos!T10),(Datos!J10-Datos!T10)/Datos!T10," - ")</f>
        <v>0.81081081081081086</v>
      </c>
      <c r="D10" s="456">
        <f>IF(ISNUMBER((Datos!K10-Datos!U10)/Datos!U10),(Datos!K10-Datos!U10)/Datos!U10," - ")</f>
        <v>0.86363636363636365</v>
      </c>
      <c r="E10" s="456">
        <f>IF(ISNUMBER((Datos!L10-Datos!V10)/Datos!V10),(Datos!L10-Datos!V10)/Datos!V10," - ")</f>
        <v>1.2820512820512822</v>
      </c>
      <c r="F10" s="456">
        <f>IF(ISNUMBER((Datos!M10-Datos!W10)/Datos!W10),(Datos!M10-Datos!W10)/Datos!W10," - ")</f>
        <v>-0.45454545454545453</v>
      </c>
      <c r="G10" s="457">
        <f>IF(ISNUMBER((Datos!N10-Datos!X10)/Datos!X10),(Datos!N10-Datos!X10)/Datos!X10," - ")</f>
        <v>0</v>
      </c>
      <c r="H10" s="455">
        <f>IF(ISNUMBER(((NºAsuntos!G10/NºAsuntos!E10)-Datos!BD10)/Datos!BD10),((NºAsuntos!G10/NºAsuntos!E10)-Datos!BD10)/Datos!BD10," - ")</f>
        <v>2.9172320217096263E-2</v>
      </c>
      <c r="I10" s="456">
        <f>IF(ISNUMBER(((NºAsuntos!I10/NºAsuntos!G10)-Datos!BE10)/Datos!BE10),((NºAsuntos!I10/NºAsuntos!G10)-Datos!BE10)/Datos!BE10," - ")</f>
        <v>0.22451532207629779</v>
      </c>
      <c r="J10" s="461">
        <f>IF(ISNUMBER((('Resol  Asuntos'!D10/NºAsuntos!G10)-Datos!BF10)/Datos!BF10),(('Resol  Asuntos'!D10/NºAsuntos!G10)-Datos!BF10)/Datos!BF10," - ")</f>
        <v>-0.70731707317073167</v>
      </c>
      <c r="K10" s="462">
        <f>IF(ISNUMBER((((NºAsuntos!C10+NºAsuntos!E10)/NºAsuntos!G10)-Datos!BG10)/Datos!BG10),(((NºAsuntos!C10+NºAsuntos!E10)/NºAsuntos!G10)-Datos!BG10)/Datos!BG10," - ")</f>
        <v>0.17512195121951216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-0.23422712933753942</v>
      </c>
      <c r="C11" s="456">
        <f>IF(ISNUMBER(
   IF(J_V="SI",(Datos!J11-Datos!T11)/Datos!T11,(Datos!J11+Datos!Z11-(Datos!T11+Datos!AH11))/(Datos!T11+Datos!AH11))
     ),IF(J_V="SI",(Datos!J11-Datos!T11)/Datos!T11,(Datos!J11+Datos!Z11-(Datos!T11+Datos!AH11))/(Datos!T11+Datos!AH11))," - ")</f>
        <v>9.5516569200779722E-2</v>
      </c>
      <c r="D11" s="456">
        <f>IF(ISNUMBER(
   IF(J_V="SI",(Datos!K11-Datos!U11)/Datos!U11,(Datos!K11+Datos!AA11-(Datos!U11+Datos!AI11))/(Datos!U11+Datos!AI11))
     ),IF(J_V="SI",(Datos!K11-Datos!U11)/Datos!U11,(Datos!K11+Datos!AA11-(Datos!U11+Datos!AI11))/(Datos!U11+Datos!AI11))," - ")</f>
        <v>-0.10545454545454545</v>
      </c>
      <c r="E11" s="456">
        <f>IF(ISNUMBER(
   IF(J_V="SI",(Datos!L11-Datos!V11)/Datos!V11,(Datos!L11+Datos!AB11-(Datos!V11+Datos!AJ11))/(Datos!V11+Datos!AJ11))
     ),IF(J_V="SI",(Datos!L11-Datos!V11)/Datos!V11,(Datos!L11+Datos!AB11-(Datos!V11+Datos!AJ11))/(Datos!V11+Datos!AJ11))," - ")</f>
        <v>-0.21933387489845654</v>
      </c>
      <c r="F11" s="456">
        <f>IF(ISNUMBER((Datos!M11-Datos!W11)/Datos!W11),(Datos!M11-Datos!W11)/Datos!W11," - ")</f>
        <v>0.38356164383561642</v>
      </c>
      <c r="G11" s="457">
        <f>IF(ISNUMBER((Datos!N11-Datos!X11)/Datos!X11),(Datos!N11-Datos!X11)/Datos!X11," - ")</f>
        <v>-0.11945392491467577</v>
      </c>
      <c r="H11" s="455">
        <f>IF(ISNUMBER(((NºAsuntos!G11/NºAsuntos!E11)-Datos!BD11)/Datos!BD11),((NºAsuntos!G11/NºAsuntos!E11)-Datos!BD11)/Datos!BD11," - ")</f>
        <v>-0.183448722096409</v>
      </c>
      <c r="I11" s="456">
        <f>IF(ISNUMBER(((NºAsuntos!I11/NºAsuntos!G11)-Datos!BE11)/Datos!BE11),((NºAsuntos!I11/NºAsuntos!G11)-Datos!BE11)/Datos!BE11," - ")</f>
        <v>-0.12730412844339653</v>
      </c>
      <c r="J11" s="461">
        <f>IF(ISNUMBER((('Resol  Asuntos'!D11/NºAsuntos!G11)-Datos!BF11)/Datos!BF11),(('Resol  Asuntos'!D11/NºAsuntos!G11)-Datos!BF11)/Datos!BF11," - ")</f>
        <v>-0.61465356974388852</v>
      </c>
      <c r="K11" s="462">
        <f>IF(ISNUMBER((((NºAsuntos!C11+NºAsuntos!E11)/NºAsuntos!G11)-Datos!BG11)/Datos!BG11),(((NºAsuntos!C11+NºAsuntos!E11)/NºAsuntos!G11)-Datos!BG11)/Datos!BG11," - ")</f>
        <v>-3.7776803933115194E-2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1.5448724463868279E-2</v>
      </c>
      <c r="C13" s="855">
        <f>IF(ISNUMBER(
   IF(J_V="SI",(Datos!J13-Datos!T13)/Datos!T13,(Datos!J13+Datos!Z13-(Datos!T13+Datos!AH13))/(Datos!T13+Datos!AH13))
     ),IF(J_V="SI",(Datos!J13-Datos!T13)/Datos!T13,(Datos!J13+Datos!Z13-(Datos!T13+Datos!AH13))/(Datos!T13+Datos!AH13))," - ")</f>
        <v>-0.11489578037620743</v>
      </c>
      <c r="D13" s="855">
        <f>IF(ISNUMBER(
   IF(J_V="SI",(Datos!K13-Datos!U13)/Datos!U13,(Datos!K13+Datos!AA13-(Datos!U13+Datos!AI13))/(Datos!U13+Datos!AI13))
     ),IF(J_V="SI",(Datos!K13-Datos!U13)/Datos!U13,(Datos!K13+Datos!AA13-(Datos!U13+Datos!AI13))/(Datos!U13+Datos!AI13))," - ")</f>
        <v>2.8477218225419664E-2</v>
      </c>
      <c r="E13" s="855">
        <f>IF(ISNUMBER(
   IF(J_V="SI",(Datos!L13-Datos!V13)/Datos!V13,(Datos!L13+Datos!AB13-(Datos!V13+Datos!AJ13))/(Datos!V13+Datos!AJ13))
     ),IF(J_V="SI",(Datos!L13-Datos!V13)/Datos!V13,(Datos!L13+Datos!AB13-(Datos!V13+Datos!AJ13))/(Datos!V13+Datos!AJ13))," - ")</f>
        <v>-4.760994263862333E-2</v>
      </c>
      <c r="F13" s="856">
        <f>IF(ISNUMBER((Datos!M13-Datos!W13)/Datos!W13),(Datos!M13-Datos!W13)/Datos!W13," - ")</f>
        <v>0.15007656967840735</v>
      </c>
      <c r="G13" s="857">
        <f>IF(ISNUMBER((Datos!N13-Datos!X13)/Datos!X13),(Datos!N13-Datos!X13)/Datos!X13," - ")</f>
        <v>-2.5706940874035988E-3</v>
      </c>
      <c r="H13" s="857">
        <f>IF(ISNUMBER(((NºAsuntos!G13/NºAsuntos!E13)-Datos!BD13)/Datos!BD13),((NºAsuntos!G13/NºAsuntos!E13)-Datos!BD13)/Datos!BD13," - ")</f>
        <v>0.16198431260735244</v>
      </c>
      <c r="I13" s="857">
        <f>IF(ISNUMBER(((NºAsuntos!I13/NºAsuntos!G13)-Datos!BE13)/Datos!BE13),((NºAsuntos!I13/NºAsuntos!G13)-Datos!BE13)/Datos!BE13," - ")</f>
        <v>-7.3980404734027186E-2</v>
      </c>
      <c r="J13" s="857">
        <f>IF(ISNUMBER((('Resol  Asuntos'!D13/NºAsuntos!G13)-Datos!BF13)/Datos!BF13),(('Resol  Asuntos'!D13/NºAsuntos!G13)-Datos!BF13)/Datos!BF13," - ")</f>
        <v>-0.53101748817452121</v>
      </c>
      <c r="K13" s="857">
        <f>IF(ISNUMBER((((NºAsuntos!C13+NºAsuntos!E13)/NºAsuntos!G13)-Datos!BG13)/Datos!BG13),(((NºAsuntos!C13+NºAsuntos!E13)/NºAsuntos!G13)-Datos!BG13)/Datos!BG13," - ")</f>
        <v>-4.8867358684171844E-2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7.3913043478260873E-2</v>
      </c>
      <c r="C15" s="456">
        <f>IF(ISNUMBER(
   IF(D_I="SI",(Datos!J15-Datos!T15)/Datos!T15,(Datos!J15+Datos!AD15-(Datos!T15+Datos!AL15))/(Datos!T15+Datos!AL15))
     ),IF(D_I="SI",(Datos!J15-Datos!T15)/Datos!T15,(Datos!J15+Datos!AD15-(Datos!T15+Datos!AL15))/(Datos!T15+Datos!AL15))," - ")</f>
        <v>0.16191472665445986</v>
      </c>
      <c r="D15" s="456">
        <f>IF(ISNUMBER(
   IF(D_I="SI",(Datos!K15-Datos!U15)/Datos!U15,(Datos!K15+Datos!AE15-(Datos!U15+Datos!AM15))/(Datos!U15+Datos!AM15))
     ),IF(D_I="SI",(Datos!K15-Datos!U15)/Datos!U15,(Datos!K15+Datos!AE15-(Datos!U15+Datos!AM15))/(Datos!U15+Datos!AM15))," - ")</f>
        <v>2.474566950783613E-3</v>
      </c>
      <c r="E15" s="456">
        <f>IF(ISNUMBER(
   IF(D_I="SI",(Datos!L15-Datos!V15)/Datos!V15,(Datos!L15+Datos!AF15-(Datos!V15+Datos!AN15))/(Datos!V15+Datos!AN15))
     ),IF(D_I="SI",(Datos!L15-Datos!V15)/Datos!V15,(Datos!L15+Datos!AF15-(Datos!V15+Datos!AN15))/(Datos!V15+Datos!AN15))," - ")</f>
        <v>0.16403072751920469</v>
      </c>
      <c r="F15" s="456">
        <f>IF(ISNUMBER((Datos!M15-Datos!W15)/Datos!W15),(Datos!M15-Datos!W15)/Datos!W15," - ")</f>
        <v>0.1023391812865497</v>
      </c>
      <c r="G15" s="457">
        <f>IF(ISNUMBER((Datos!N15-Datos!X15)/Datos!X15),(Datos!N15-Datos!X15)/Datos!X15," - ")</f>
        <v>-2.6661024121878967E-2</v>
      </c>
      <c r="H15" s="455">
        <f>IF(ISNUMBER(((NºAsuntos!G15/NºAsuntos!E15)-Datos!BD15)/Datos!BD15),((NºAsuntos!G15/NºAsuntos!E15)-Datos!BD15)/Datos!BD15," - ")</f>
        <v>-0.13722191142439308</v>
      </c>
      <c r="I15" s="456">
        <f>IF(ISNUMBER(((NºAsuntos!I15/NºAsuntos!G15)-Datos!BE15)/Datos!BE15),((NºAsuntos!I15/NºAsuntos!G15)-Datos!BE15)/Datos!BE15," - ")</f>
        <v>0.16115736587694671</v>
      </c>
      <c r="J15" s="461">
        <f>IF(ISNUMBER((('Resol  Asuntos'!D15/NºAsuntos!G15)-Datos!BF15)/Datos!BF15),(('Resol  Asuntos'!D15/NºAsuntos!G15)-Datos!BF15)/Datos!BF15," - ")</f>
        <v>9.961810267119621E-2</v>
      </c>
      <c r="K15" s="462">
        <f>IF(ISNUMBER((((NºAsuntos!C15+NºAsuntos!E15)/NºAsuntos!G15)-Datos!BG15)/Datos!BG15),(((NºAsuntos!C15+NºAsuntos!E15)/NºAsuntos!G15)-Datos!BG15)/Datos!BG15," - ")</f>
        <v>0.10396212095823877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1.925531914893617</v>
      </c>
      <c r="C17" s="456">
        <f>IF(ISNUMBER(
   IF(D_I="SI",(Datos!J17-Datos!T17)/Datos!T17,(Datos!J17+Datos!AD17-(Datos!T17+Datos!AL17))/(Datos!T17+Datos!AL17))
     ),IF(D_I="SI",(Datos!J17-Datos!T17)/Datos!T17,(Datos!J17+Datos!AD17-(Datos!T17+Datos!AL17))/(Datos!T17+Datos!AL17))," - ")</f>
        <v>-0.12195121951219512</v>
      </c>
      <c r="D17" s="456">
        <f>IF(ISNUMBER(
   IF(D_I="SI",(Datos!K17-Datos!U17)/Datos!U17,(Datos!K17+Datos!AE17-(Datos!U17+Datos!AM17))/(Datos!U17+Datos!AM17))
     ),IF(D_I="SI",(Datos!K17-Datos!U17)/Datos!U17,(Datos!K17+Datos!AE17-(Datos!U17+Datos!AM17))/(Datos!U17+Datos!AM17))," - ")</f>
        <v>-0.27147766323024053</v>
      </c>
      <c r="E17" s="456">
        <f>IF(ISNUMBER(
   IF(D_I="SI",(Datos!L17-Datos!V17)/Datos!V17,(Datos!L17+Datos!AF17-(Datos!V17+Datos!AN17))/(Datos!V17+Datos!AN17))
     ),IF(D_I="SI",(Datos!L17-Datos!V17)/Datos!V17,(Datos!L17+Datos!AF17-(Datos!V17+Datos!AN17))/(Datos!V17+Datos!AN17))," - ")</f>
        <v>1.7099236641221374</v>
      </c>
      <c r="F17" s="456">
        <f>IF(ISNUMBER((Datos!M17-Datos!W17)/Datos!W17),(Datos!M17-Datos!W17)/Datos!W17," - ")</f>
        <v>0.27272727272727271</v>
      </c>
      <c r="G17" s="457">
        <f>IF(ISNUMBER((Datos!N17-Datos!X17)/Datos!X17),(Datos!N17-Datos!X17)/Datos!X17," - ")</f>
        <v>-0.15760869565217392</v>
      </c>
      <c r="H17" s="455">
        <f>IF(ISNUMBER(((NºAsuntos!G17/NºAsuntos!E17)-Datos!BD17)/Datos!BD17),((NºAsuntos!G17/NºAsuntos!E17)-Datos!BD17)/Datos!BD17," - ")</f>
        <v>-0.1702940053455517</v>
      </c>
      <c r="I17" s="456">
        <f>IF(ISNUMBER(((NºAsuntos!I17/NºAsuntos!G17)-Datos!BE17)/Datos!BE17),((NºAsuntos!I17/NºAsuntos!G17)-Datos!BE17)/Datos!BE17," - ")</f>
        <v>2.7197537087714245</v>
      </c>
      <c r="J17" s="461">
        <f>IF(ISNUMBER((('Resol  Asuntos'!D17/NºAsuntos!G17)-Datos!BF17)/Datos!BF17),(('Resol  Asuntos'!D17/NºAsuntos!G17)-Datos!BF17)/Datos!BF17," - ")</f>
        <v>0.74699828473413388</v>
      </c>
      <c r="K17" s="462">
        <f>IF(ISNUMBER((((NºAsuntos!C17+NºAsuntos!E17)/NºAsuntos!G17)-Datos!BG17)/Datos!BG17),(((NºAsuntos!C17+NºAsuntos!E17)/NºAsuntos!G17)-Datos!BG17)/Datos!BG17," - ")</f>
        <v>0.83127291424483585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0.10055096418732783</v>
      </c>
      <c r="C18" s="855">
        <f>IF(ISNUMBER(
   IF(Criterios!B14="SI",(Datos!J18-Datos!T18)/Datos!T18,(Datos!J18+Datos!AD18-(Datos!T18+Datos!AL18))/(Datos!T18+Datos!AL18))
     ),IF(Criterios!B14="SI",(Datos!J18-Datos!T18)/Datos!T18,(Datos!J18+Datos!AD18-(Datos!T18+Datos!AL18))/(Datos!T18+Datos!AL18))," - ")</f>
        <v>0.13948446157552397</v>
      </c>
      <c r="D18" s="855">
        <f>IF(ISNUMBER(
   IF(Criterios!B14="SI",(Datos!K18-Datos!U18)/Datos!U18,(Datos!K18+Datos!AE18-(Datos!U18+Datos!AM18))/(Datos!U18+Datos!AM18))
     ),IF(Criterios!B14="SI",(Datos!K18-Datos!U18)/Datos!U18,(Datos!K18+Datos!AE18-(Datos!U18+Datos!AM18))/(Datos!U18+Datos!AM18))," - ")</f>
        <v>-1.7820773930753563E-2</v>
      </c>
      <c r="E18" s="855">
        <f>IF(ISNUMBER(
   IF(Criterios!B14="SI",(Datos!L18-Datos!V18)/Datos!V18,(Datos!L18+Datos!AF18-(Datos!V18+Datos!AN18))/(Datos!V18+Datos!AN18))
     ),IF(Criterios!B14="SI",(Datos!L18-Datos!V18)/Datos!V18,(Datos!L18+Datos!AF18-(Datos!V18+Datos!AN18))/(Datos!V18+Datos!AN18))," - ")</f>
        <v>0.19394387001477104</v>
      </c>
      <c r="F18" s="856">
        <f>IF(ISNUMBER((Datos!M18-Datos!W18)/Datos!W18),(Datos!M18-Datos!W18)/Datos!W18," - ")</f>
        <v>0.11263736263736264</v>
      </c>
      <c r="G18" s="857">
        <f>IF(ISNUMBER((Datos!N18-Datos!X18)/Datos!X18),(Datos!N18-Datos!X18)/Datos!X18," - ")</f>
        <v>-3.6120926580290535E-2</v>
      </c>
      <c r="H18" s="857">
        <f>IF(ISNUMBER(((NºAsuntos!G18/NºAsuntos!E18)-Datos!BD18)/Datos!BD18),((NºAsuntos!G18/NºAsuntos!E18)-Datos!BD18)/Datos!BD18," - ")</f>
        <v>-0.1380494783481096</v>
      </c>
      <c r="I18" s="857">
        <f>IF(ISNUMBER(((NºAsuntos!I18/NºAsuntos!G18)-Datos!BE18)/Datos!BE18),((NºAsuntos!I18/NºAsuntos!G18)-Datos!BE18)/Datos!BE18," - ")</f>
        <v>0.21560692623587893</v>
      </c>
      <c r="J18" s="857">
        <f>IF(ISNUMBER((('Resol  Asuntos'!D18/NºAsuntos!G18)-Datos!BF18)/Datos!BF18),(('Resol  Asuntos'!D18/NºAsuntos!G18)-Datos!BF18)/Datos!BF18," - ")</f>
        <v>0.13282518414711267</v>
      </c>
      <c r="K18" s="857">
        <f>IF(ISNUMBER((((NºAsuntos!C18+NºAsuntos!E18)/NºAsuntos!G18)-Datos!BG18)/Datos!BG18),(((NºAsuntos!C18+NºAsuntos!E18)/NºAsuntos!G18)-Datos!BG18)/Datos!BG18," - ")</f>
        <v>0.135919139756149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4.9410615036951079E-2</v>
      </c>
      <c r="C19" s="802">
        <f>IF(ISNUMBER(
   IF(J_V="SI",(Datos!J19-Datos!T19)/Datos!T19,(Datos!J19+Datos!Z19-(Datos!T19+Datos!AH19))/(Datos!T19+Datos!AH19))
     ),IF(J_V="SI",(Datos!J19-Datos!T19)/Datos!T19,(Datos!J19+Datos!Z19-(Datos!T19+Datos!AH19))/(Datos!T19+Datos!AH19))," - ")</f>
        <v>1.5708101422387138E-2</v>
      </c>
      <c r="D19" s="802">
        <f>IF(ISNUMBER(
   IF(J_V="SI",(Datos!K19-Datos!U19)/Datos!U19,(Datos!K19+Datos!AA19-(Datos!U19+Datos!AI19))/(Datos!U19+Datos!AI19))
     ),IF(J_V="SI",(Datos!K19-Datos!U19)/Datos!U19,(Datos!K19+Datos!AA19-(Datos!U19+Datos!AI19))/(Datos!U19+Datos!AI19))," - ")</f>
        <v>3.4416299559471364E-3</v>
      </c>
      <c r="E19" s="802">
        <f>IF(ISNUMBER(
   IF(J_V="SI",(Datos!L19-Datos!V19)/Datos!V19,(Datos!L19+Datos!AB19-(Datos!V19+Datos!AJ19))/(Datos!V19+Datos!AJ19))
     ),IF(J_V="SI",(Datos!L19-Datos!V19)/Datos!V19,(Datos!L19+Datos!AB19-(Datos!V19+Datos!AJ19))/(Datos!V19+Datos!AJ19))," - ")</f>
        <v>4.7301218804410912E-2</v>
      </c>
      <c r="F19" s="803">
        <f>IF(ISNUMBER((Datos!M19-Datos!W19)/Datos!W19),(Datos!M19-Datos!W19)/Datos!W19," - ")</f>
        <v>0.13667649950835792</v>
      </c>
      <c r="G19" s="804">
        <f>IF(ISNUMBER((Datos!N19-Datos!X19)/Datos!X19),(Datos!N19-Datos!X19)/Datos!X19," - ")</f>
        <v>-2.3397514014135999E-2</v>
      </c>
      <c r="H19" s="805">
        <f>IF(ISNUMBER((Tasas!B19-Datos!BD19)/Datos!BD19),(Tasas!B19-Datos!BD19)/Datos!BD19," - ")</f>
        <v>-1.2076768364121771E-2</v>
      </c>
      <c r="I19" s="806">
        <f>IF(ISNUMBER((Tasas!C19-Datos!BE19)/Datos!BE19),(Tasas!C19-Datos!BE19)/Datos!BE19," - ")</f>
        <v>4.3709158100595509E-2</v>
      </c>
      <c r="J19" s="807">
        <f>IF(ISNUMBER((Tasas!D19-Datos!BF19)/Datos!BF19),(Tasas!D19-Datos!BF19)/Datos!BF19," - ")</f>
        <v>-0.40029405444256522</v>
      </c>
      <c r="K19" s="807">
        <f>IF(ISNUMBER((Tasas!E19-Datos!BG19)/Datos!BG19),(Tasas!E19-Datos!BG19)/Datos!BG19," - ")</f>
        <v>3.4708602687356718E-2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QSpNTV37apGGjz7WgubRHO54gu/L9Fd55QJ2EPf1wG60+nrMhkeHevUPYAqabjbPd8GHhw48sZt6MX39iRrrg==" saltValue="rFJUiWQ1sKst+hfu4oSo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GRANOLLERS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1.0157728706624605</v>
      </c>
      <c r="C9" s="443">
        <f>IF(ISNUMBER(NºAsuntos!I9/NºAsuntos!G9),NºAsuntos!I9/NºAsuntos!G9," - ")</f>
        <v>3.0445134575569357</v>
      </c>
      <c r="D9" s="444">
        <f>IF(ISNUMBER('Resol  Asuntos'!D9/NºAsuntos!G9),'Resol  Asuntos'!D9/NºAsuntos!G9," - ")</f>
        <v>0.22222222222222221</v>
      </c>
      <c r="E9" s="445">
        <f>IF(ISNUMBER((NºAsuntos!C9+NºAsuntos!E9)/NºAsuntos!G9),(NºAsuntos!C9+NºAsuntos!E9)/NºAsuntos!G9," - ")</f>
        <v>4.0445134575569357</v>
      </c>
      <c r="G9" s="463"/>
    </row>
    <row r="10" spans="1:7">
      <c r="A10" s="402" t="str">
        <f>Datos!A10</f>
        <v>Jdos. Violencia contra la mujer</v>
      </c>
      <c r="B10" s="442">
        <f>IF(ISNUMBER(NºAsuntos!G10/NºAsuntos!E10),NºAsuntos!G10/NºAsuntos!E10," - ")</f>
        <v>0.61194029850746268</v>
      </c>
      <c r="C10" s="443">
        <f>IF(ISNUMBER(NºAsuntos!I10/NºAsuntos!G10),NºAsuntos!I10/NºAsuntos!G10," - ")</f>
        <v>4.3414634146341466</v>
      </c>
      <c r="D10" s="444">
        <f>IF(ISNUMBER('Resol  Asuntos'!D10/NºAsuntos!G10),'Resol  Asuntos'!D10/NºAsuntos!G10," - ")</f>
        <v>0.14634146341463414</v>
      </c>
      <c r="E10" s="445">
        <f>IF(ISNUMBER((NºAsuntos!C10+NºAsuntos!E10)/NºAsuntos!G10),(NºAsuntos!C10+NºAsuntos!E10)/NºAsuntos!G10," - ")</f>
        <v>5.3414634146341466</v>
      </c>
      <c r="G10" s="463"/>
    </row>
    <row r="11" spans="1:7">
      <c r="A11" s="402" t="str">
        <f>Datos!A11</f>
        <v xml:space="preserve">Jdos. Familia                                   </v>
      </c>
      <c r="B11" s="442">
        <f>IF(ISNUMBER(NºAsuntos!G11/NºAsuntos!E11),NºAsuntos!G11/NºAsuntos!E11," - ")</f>
        <v>0.8754448398576512</v>
      </c>
      <c r="C11" s="443">
        <f>IF(ISNUMBER(NºAsuntos!I11/NºAsuntos!G11),NºAsuntos!I11/NºAsuntos!G11," - ")</f>
        <v>1.9532520325203253</v>
      </c>
      <c r="D11" s="444">
        <f>IF(ISNUMBER('Resol  Asuntos'!D11/NºAsuntos!G11),'Resol  Asuntos'!D11/NºAsuntos!G11," - ")</f>
        <v>0.20528455284552846</v>
      </c>
      <c r="E11" s="445">
        <f>IF(ISNUMBER((NºAsuntos!C11+NºAsuntos!E11)/NºAsuntos!G11),(NºAsuntos!C11+NºAsuntos!E11)/NºAsuntos!G11," - ")</f>
        <v>3.1158536585365852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0.98535324526134405</v>
      </c>
      <c r="C13" s="859">
        <f>IF(ISNUMBER(NºAsuntos!I13/NºAsuntos!G13),NºAsuntos!I13/NºAsuntos!G13," - ")</f>
        <v>2.903526668609735</v>
      </c>
      <c r="D13" s="860">
        <f>IF(ISNUMBER('Resol  Asuntos'!D13/NºAsuntos!G13),'Resol  Asuntos'!D13/NºAsuntos!G13," - ")</f>
        <v>0.21888662197610026</v>
      </c>
      <c r="E13" s="861">
        <f>IF(ISNUMBER((NºAsuntos!C13+NºAsuntos!E13)/NºAsuntos!G13),(NºAsuntos!C13+NºAsuntos!E13)/NºAsuntos!G13," - ")</f>
        <v>3.9268434858641794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0.82080144079243589</v>
      </c>
      <c r="C15" s="443">
        <f>IF(ISNUMBER(NºAsuntos!I15/NºAsuntos!G15),NºAsuntos!I15/NºAsuntos!G15," - ")</f>
        <v>2.1195831047723535</v>
      </c>
      <c r="D15" s="444">
        <f>IF(ISNUMBER('Resol  Asuntos'!D15/NºAsuntos!G15),'Resol  Asuntos'!D15/NºAsuntos!G15," - ")</f>
        <v>0.1034009873834339</v>
      </c>
      <c r="E15" s="445">
        <f>IF(ISNUMBER((NºAsuntos!C15+NºAsuntos!E15)/NºAsuntos!G15),(NºAsuntos!C15+NºAsuntos!E15)/NºAsuntos!G15," - ")</f>
        <v>3.1151947339550192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0.73611111111111116</v>
      </c>
      <c r="C17" s="443">
        <f>IF(ISNUMBER(NºAsuntos!I17/NºAsuntos!G17),NºAsuntos!I17/NºAsuntos!G17," - ")</f>
        <v>1.6745283018867925</v>
      </c>
      <c r="D17" s="444">
        <f>IF(ISNUMBER('Resol  Asuntos'!D17/NºAsuntos!G17),'Resol  Asuntos'!D17/NºAsuntos!G17," - ")</f>
        <v>0.13207547169811321</v>
      </c>
      <c r="E17" s="445">
        <f>IF(ISNUMBER((NºAsuntos!C17+NºAsuntos!E17)/NºAsuntos!G17),(NºAsuntos!C17+NºAsuntos!E17)/NºAsuntos!G17," - ")</f>
        <v>2.6556603773584904</v>
      </c>
      <c r="G17" s="463"/>
    </row>
    <row r="18" spans="1:7" ht="14.25" thickTop="1" thickBot="1">
      <c r="A18" s="848" t="str">
        <f>Datos!A18</f>
        <v>TOTAL</v>
      </c>
      <c r="B18" s="858">
        <f>IF(ISNUMBER(NºAsuntos!G18/NºAsuntos!E18),NºAsuntos!G18/NºAsuntos!E18," - ")</f>
        <v>0.81564482029598306</v>
      </c>
      <c r="C18" s="859">
        <f>IF(ISNUMBER(NºAsuntos!I18/NºAsuntos!G18),NºAsuntos!I18/NºAsuntos!G18," - ")</f>
        <v>2.0951270088128564</v>
      </c>
      <c r="D18" s="862">
        <f>IF(ISNUMBER('Resol  Asuntos'!D18/NºAsuntos!G18),'Resol  Asuntos'!D18/NºAsuntos!G18," - ")</f>
        <v>0.10497667185069985</v>
      </c>
      <c r="E18" s="861">
        <f>IF(ISNUMBER((NºAsuntos!C18+NºAsuntos!E18)/NºAsuntos!G18),(NºAsuntos!C18+NºAsuntos!E18)/NºAsuntos!G18," - ")</f>
        <v>3.0899429756350441</v>
      </c>
      <c r="G18" s="463"/>
    </row>
    <row r="19" spans="1:7" ht="15.75" customHeight="1" thickTop="1" thickBot="1">
      <c r="A19" s="793" t="str">
        <f>Datos!A19</f>
        <v>TOTAL JURISDICCIONES</v>
      </c>
      <c r="B19" s="808">
        <f>IF(ISNUMBER(NºAsuntos!G19/NºAsuntos!E19),NºAsuntos!G19/NºAsuntos!E19," - ")</f>
        <v>0.88760350706283486</v>
      </c>
      <c r="C19" s="809">
        <f>IF(ISNUMBER(NºAsuntos!I19/NºAsuntos!G19),NºAsuntos!I19/NºAsuntos!G19," - ")</f>
        <v>2.4756482370695569</v>
      </c>
      <c r="D19" s="810">
        <f>IF(ISNUMBER('Resol  Asuntos'!D19/NºAsuntos!G19),'Resol  Asuntos'!D19/NºAsuntos!G19," - ")</f>
        <v>0.15859514336671698</v>
      </c>
      <c r="E19" s="811">
        <f>IF(ISNUMBER((NºAsuntos!C19+NºAsuntos!E19)/NºAsuntos!G19),(NºAsuntos!C19+NºAsuntos!E19)/NºAsuntos!G19," - ")</f>
        <v>3.4838798189051996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d8Ry9YWKH0AaEj0TYQnhhnzeFR7ln0MK/GxZ/F9I6VecXtV05Tkm21qT/5JXHgTIZAwaurc90eR/vGMAQLOKw==" saltValue="Ej5xtIJdzKjosNHzkoe5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GRANOLLERS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1756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908</v>
      </c>
      <c r="Y9" s="334">
        <f>SUM(W9:X9)</f>
        <v>908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15980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644</v>
      </c>
      <c r="AJ9" s="229" t="str">
        <f>IF(ISNUMBER(Datos!BW9),Datos!BW9," - ")</f>
        <v xml:space="preserve"> - </v>
      </c>
      <c r="AK9" s="228" t="str">
        <f>IF(ISNUMBER(Datos!BX9),Datos!BX9," - ")</f>
        <v xml:space="preserve"> - </v>
      </c>
      <c r="AL9" s="243">
        <f>IF(ISNUMBER(NºAsuntos!G9/NºAsuntos!E9),NºAsuntos!G9/NºAsuntos!E9," - ")</f>
        <v>1.0157728706624605</v>
      </c>
      <c r="AM9" s="260">
        <f>IF(ISNUMBER(((NºAsuntos!I9/NºAsuntos!G9)*11)/factor_trimestre),((NºAsuntos!I9/NºAsuntos!G9)*11)/factor_trimestre," - ")</f>
        <v>6.0890269151138714</v>
      </c>
      <c r="AN9" s="244">
        <f>IF(ISNUMBER('Resol  Asuntos'!D9/NºAsuntos!G9),'Resol  Asuntos'!D9/NºAsuntos!G9," - ")</f>
        <v>0.22222222222222221</v>
      </c>
      <c r="AO9" s="245">
        <f>IF(ISNUMBER((NºAsuntos!C9+NºAsuntos!E9)/NºAsuntos!G9),(NºAsuntos!C9+NºAsuntos!E9)/NºAsuntos!G9," - ")</f>
        <v>4.0445134575569357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152</v>
      </c>
      <c r="G10" s="333">
        <f>IF(ISNUMBER(Datos!I10),Datos!I10," - ")</f>
        <v>152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7</v>
      </c>
      <c r="Y10" s="334">
        <f t="shared" ref="Y10:Y12" si="0">SUM(W10:X10)</f>
        <v>48</v>
      </c>
      <c r="Z10" s="335" t="str">
        <f>IF(ISNUMBER(Datos!CC10),Datos!CC10," - ")</f>
        <v xml:space="preserve"> - </v>
      </c>
      <c r="AA10" s="332">
        <f>IF(ISNUMBER(Datos!L10),Datos!L10,"-")</f>
        <v>178</v>
      </c>
      <c r="AB10" s="334">
        <f>IF(ISNUMBER(Datos!R10),Datos!R10," - ")</f>
        <v>109</v>
      </c>
      <c r="AC10" s="334">
        <f t="shared" ref="AC10:AC12" si="1">IF(ISNUMBER(AA10+AB10),AA10+AB10," - ")</f>
        <v>287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0.61194029850746268</v>
      </c>
      <c r="AM10" s="260">
        <f>IF(ISNUMBER(((NºAsuntos!I10/NºAsuntos!G10)*11)/factor_trimestre),((NºAsuntos!I10/NºAsuntos!G10)*11)/factor_trimestre," - ")</f>
        <v>8.6829268292682933</v>
      </c>
      <c r="AN10" s="244">
        <f>IF(ISNUMBER('Resol  Asuntos'!D10/NºAsuntos!G10),'Resol  Asuntos'!D10/NºAsuntos!G10," - ")</f>
        <v>0.14634146341463414</v>
      </c>
      <c r="AO10" s="245">
        <f>IF(ISNUMBER((NºAsuntos!C10+NºAsuntos!E10)/NºAsuntos!G10),(NºAsuntos!C10+NºAsuntos!E10)/NºAsuntos!G10," - ")</f>
        <v>5.3414634146341466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47</v>
      </c>
      <c r="Y11" s="334">
        <f t="shared" si="0"/>
        <v>47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753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101</v>
      </c>
      <c r="AJ11" s="231" t="str">
        <f>IF(ISNUMBER(Datos!BW11),Datos!BW11," - ")</f>
        <v xml:space="preserve"> - </v>
      </c>
      <c r="AK11" s="232" t="str">
        <f>IF(ISNUMBER(Datos!BX11),Datos!BX11," - ")</f>
        <v xml:space="preserve"> - </v>
      </c>
      <c r="AL11" s="243">
        <f>IF(ISNUMBER(NºAsuntos!G11/NºAsuntos!E11),NºAsuntos!G11/NºAsuntos!E11," - ")</f>
        <v>0.8754448398576512</v>
      </c>
      <c r="AM11" s="260">
        <f>IF(ISNUMBER(((NºAsuntos!I11/NºAsuntos!G11)*11)/factor_trimestre),((NºAsuntos!I11/NºAsuntos!G11)*11)/factor_trimestre," - ")</f>
        <v>3.9065040650406506</v>
      </c>
      <c r="AN11" s="244">
        <f>IF(ISNUMBER('Resol  Asuntos'!D11/NºAsuntos!G11),'Resol  Asuntos'!D11/NºAsuntos!G11," - ")</f>
        <v>0.20528455284552846</v>
      </c>
      <c r="AO11" s="245">
        <f>IF(ISNUMBER((NºAsuntos!C11+NºAsuntos!E11)/NºAsuntos!G11),(NºAsuntos!C11+NºAsuntos!E11)/NºAsuntos!G11," - ")</f>
        <v>3.1158536585365852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152</v>
      </c>
      <c r="G13" s="866">
        <f t="shared" si="3"/>
        <v>152</v>
      </c>
      <c r="H13" s="865">
        <f t="shared" si="3"/>
        <v>0</v>
      </c>
      <c r="I13" s="867">
        <f t="shared" si="3"/>
        <v>0</v>
      </c>
      <c r="J13" s="867">
        <f t="shared" si="3"/>
        <v>0</v>
      </c>
      <c r="K13" s="867">
        <f t="shared" si="3"/>
        <v>0</v>
      </c>
      <c r="L13" s="867">
        <f t="shared" si="3"/>
        <v>1831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962</v>
      </c>
      <c r="Y13" s="868">
        <f t="shared" si="4"/>
        <v>1003</v>
      </c>
      <c r="Z13" s="868">
        <f t="shared" si="4"/>
        <v>0</v>
      </c>
      <c r="AA13" s="868">
        <f t="shared" si="4"/>
        <v>178</v>
      </c>
      <c r="AB13" s="868">
        <f t="shared" si="4"/>
        <v>16842</v>
      </c>
      <c r="AC13" s="868">
        <f t="shared" si="4"/>
        <v>287</v>
      </c>
      <c r="AD13" s="868">
        <f t="shared" si="4"/>
        <v>0</v>
      </c>
      <c r="AE13" s="872">
        <f t="shared" si="4"/>
        <v>0</v>
      </c>
      <c r="AF13" s="865">
        <f t="shared" si="4"/>
        <v>0</v>
      </c>
      <c r="AG13" s="873">
        <f t="shared" si="4"/>
        <v>0</v>
      </c>
      <c r="AH13" s="870">
        <f t="shared" si="4"/>
        <v>0</v>
      </c>
      <c r="AI13" s="865">
        <f t="shared" si="4"/>
        <v>751</v>
      </c>
      <c r="AJ13" s="867">
        <f t="shared" si="4"/>
        <v>0</v>
      </c>
      <c r="AK13" s="870">
        <f>SUBTOTAL(9,AK9:AK12)</f>
        <v>0</v>
      </c>
      <c r="AL13" s="874">
        <f>IF(ISNUMBER(NºAsuntos!G13/NºAsuntos!E13),NºAsuntos!G13/NºAsuntos!E13," - ")</f>
        <v>0.98535324526134405</v>
      </c>
      <c r="AM13" s="874">
        <f>IF(ISNUMBER(((NºAsuntos!I13/NºAsuntos!G13)*11)/factor_trimestre),((NºAsuntos!I13/NºAsuntos!G13)*11)/factor_trimestre," - ")</f>
        <v>5.8070533372194699</v>
      </c>
      <c r="AN13" s="875">
        <f>IF(ISNUMBER('Resol  Asuntos'!D13/NºAsuntos!G13),'Resol  Asuntos'!D13/NºAsuntos!G13," - ")</f>
        <v>0.21888662197610026</v>
      </c>
      <c r="AO13" s="876">
        <f>IF(ISNUMBER((NºAsuntos!C13+NºAsuntos!E13)/NºAsuntos!G13),(NºAsuntos!C13+NºAsuntos!E13)/NºAsuntos!G13," - ")</f>
        <v>3.9268434858641794</v>
      </c>
      <c r="AP13" s="877" t="str">
        <f t="shared" si="2"/>
        <v xml:space="preserve"> - </v>
      </c>
      <c r="AQ13" s="877">
        <f>IF(ISNUMBER((H13-W13+K13)/(F13)),(H13-W13+K13)/(F13)," - ")</f>
        <v>-0.26973684210526316</v>
      </c>
      <c r="AR13" s="878">
        <f>IF(ISNUMBER((Datos!P13-Datos!Q13)/(Datos!R13-Datos!P13+Datos!Q13)),(Datos!P13-Datos!Q13)/(Datos!R13-Datos!P13+Datos!Q13)," - ")</f>
        <v>5.4404307268515618E-2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6932</v>
      </c>
      <c r="G15" s="333">
        <f>IF(ISNUMBER(IF(D_I="SI",Datos!I15,Datos!I15+Datos!AC15)),IF(D_I="SI",Datos!I15,Datos!I15+Datos!AC15)," - ")</f>
        <v>6916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3646</v>
      </c>
      <c r="X15" s="226">
        <f>IF(ISNUMBER(Datos!Q15),Datos!Q15," - ")</f>
        <v>69</v>
      </c>
      <c r="Y15" s="334">
        <f>SUM(W15)</f>
        <v>3646</v>
      </c>
      <c r="Z15" s="335" t="str">
        <f>IF(ISNUMBER(Datos!CC15),Datos!CC15," - ")</f>
        <v xml:space="preserve"> - </v>
      </c>
      <c r="AA15" s="332">
        <f>IF(ISNUMBER(IF(D_I="SI",Datos!L15,Datos!L15+Datos!AF15)),IF(D_I="SI",Datos!L15,Datos!L15+Datos!AF15)," - ")</f>
        <v>7728</v>
      </c>
      <c r="AB15" s="334">
        <f>IF(ISNUMBER(Datos!R15),Datos!R15," - ")</f>
        <v>365</v>
      </c>
      <c r="AC15" s="334">
        <f t="shared" ref="AC15:AC17" si="6">IF(ISNUMBER(AA15+AB15),AA15+AB15," - ")</f>
        <v>8093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377</v>
      </c>
      <c r="AJ15" s="231" t="str">
        <f>IF(ISNUMBER(Datos!BW15),Datos!BW15," - ")</f>
        <v xml:space="preserve"> - </v>
      </c>
      <c r="AK15" s="232" t="str">
        <f>IF(ISNUMBER(Datos!BX15),Datos!BX15," - ")</f>
        <v xml:space="preserve"> - </v>
      </c>
      <c r="AL15" s="243">
        <f>IF(ISNUMBER(NºAsuntos!G15/NºAsuntos!E15),NºAsuntos!G15/NºAsuntos!E15," - ")</f>
        <v>0.82080144079243589</v>
      </c>
      <c r="AM15" s="260">
        <f>IF(ISNUMBER(((NºAsuntos!I15/NºAsuntos!G15)*11)/factor_trimestre),((NºAsuntos!I15/NºAsuntos!G15)*11)/factor_trimestre," - ")</f>
        <v>4.2391662095447069</v>
      </c>
      <c r="AN15" s="244">
        <f>IF(ISNUMBER('Resol  Asuntos'!D15/NºAsuntos!G15),'Resol  Asuntos'!D15/NºAsuntos!G15," - ")</f>
        <v>0.1034009873834339</v>
      </c>
      <c r="AO15" s="245">
        <f>IF(ISNUMBER((NºAsuntos!C15+NºAsuntos!E15)/NºAsuntos!G15),(NºAsuntos!C15+NºAsuntos!E15)/NºAsuntos!G15," - ")</f>
        <v>3.1151947339550192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0</v>
      </c>
      <c r="Y17" s="334">
        <f t="shared" si="7"/>
        <v>212</v>
      </c>
      <c r="Z17" s="335" t="str">
        <f>IF(ISNUMBER(Datos!CC17),Datos!CC17," - ")</f>
        <v xml:space="preserve"> - </v>
      </c>
      <c r="AA17" s="332">
        <f>IF(ISNUMBER(Datos!L17),Datos!L17,"-")</f>
        <v>355</v>
      </c>
      <c r="AB17" s="334">
        <f>IF(ISNUMBER(Datos!R17),Datos!R17," - ")</f>
        <v>10</v>
      </c>
      <c r="AC17" s="334">
        <f t="shared" si="6"/>
        <v>365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0.73611111111111116</v>
      </c>
      <c r="AM17" s="260">
        <f>IF(ISNUMBER(((NºAsuntos!I17/NºAsuntos!G17)*11)/factor_trimestre),((NºAsuntos!I17/NºAsuntos!G17)*11)/factor_trimestre," - ")</f>
        <v>3.3490566037735849</v>
      </c>
      <c r="AN17" s="244">
        <f>IF(ISNUMBER('Resol  Asuntos'!D17/NºAsuntos!G17),'Resol  Asuntos'!D17/NºAsuntos!G17," - ")</f>
        <v>0.13207547169811321</v>
      </c>
      <c r="AO17" s="245">
        <f>IF(ISNUMBER((NºAsuntos!C17+NºAsuntos!E17)/NºAsuntos!G17),(NºAsuntos!C17+NºAsuntos!E17)/NºAsuntos!G17," - ")</f>
        <v>2.6556603773584904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6932</v>
      </c>
      <c r="G18" s="866">
        <f>SUBTOTAL(9,G15:G17)</f>
        <v>7191</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3858</v>
      </c>
      <c r="X18" s="867">
        <f t="shared" si="11"/>
        <v>69</v>
      </c>
      <c r="Y18" s="868">
        <f t="shared" si="11"/>
        <v>3858</v>
      </c>
      <c r="Z18" s="868">
        <f t="shared" si="11"/>
        <v>0</v>
      </c>
      <c r="AA18" s="868">
        <f t="shared" si="11"/>
        <v>8083</v>
      </c>
      <c r="AB18" s="868">
        <f t="shared" si="11"/>
        <v>375</v>
      </c>
      <c r="AC18" s="868">
        <f t="shared" si="11"/>
        <v>8458</v>
      </c>
      <c r="AD18" s="868">
        <f t="shared" si="11"/>
        <v>0</v>
      </c>
      <c r="AE18" s="872">
        <f t="shared" si="11"/>
        <v>0</v>
      </c>
      <c r="AF18" s="865">
        <f t="shared" si="11"/>
        <v>0</v>
      </c>
      <c r="AG18" s="873">
        <f t="shared" si="11"/>
        <v>0</v>
      </c>
      <c r="AH18" s="870">
        <f t="shared" si="11"/>
        <v>0</v>
      </c>
      <c r="AI18" s="865">
        <f t="shared" si="11"/>
        <v>405</v>
      </c>
      <c r="AJ18" s="867">
        <f t="shared" si="11"/>
        <v>0</v>
      </c>
      <c r="AK18" s="870">
        <f t="shared" si="11"/>
        <v>0</v>
      </c>
      <c r="AL18" s="874">
        <f>IF(ISNUMBER(NºAsuntos!G18/NºAsuntos!E18),NºAsuntos!G18/NºAsuntos!E18," - ")</f>
        <v>0.81564482029598306</v>
      </c>
      <c r="AM18" s="874">
        <f>IF(ISNUMBER(((NºAsuntos!I18/NºAsuntos!G18)*11)/factor_trimestre),((NºAsuntos!I18/NºAsuntos!G18)*11)/factor_trimestre," - ")</f>
        <v>4.1902540176257128</v>
      </c>
      <c r="AN18" s="875">
        <f>IF(ISNUMBER('Resol  Asuntos'!D18/NºAsuntos!G18),'Resol  Asuntos'!D18/NºAsuntos!G18," - ")</f>
        <v>0.10497667185069985</v>
      </c>
      <c r="AO18" s="876">
        <f>IF(ISNUMBER((NºAsuntos!C18+NºAsuntos!E18)/NºAsuntos!G18),(NºAsuntos!C18+NºAsuntos!E18)/NºAsuntos!G18," - ")</f>
        <v>3.0899429756350441</v>
      </c>
      <c r="AP18" s="877" t="str">
        <f t="shared" si="2"/>
        <v xml:space="preserve"> - </v>
      </c>
      <c r="AQ18" s="877">
        <f>IF(ISNUMBER((H18-W18+K18)/(F18)),(H18-W18+K18)/(F18)," - ")</f>
        <v>-0.55654933641084825</v>
      </c>
      <c r="AR18" s="878">
        <f>IF(ISNUMBER((Datos!P18-Datos!Q18)/(Datos!R18-Datos!P18+Datos!Q18)),(Datos!P18-Datos!Q18)/(Datos!R18-Datos!P18+Datos!Q18)," - ")</f>
        <v>2.6737967914438501E-3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7084</v>
      </c>
      <c r="G19" s="821">
        <f t="shared" si="13"/>
        <v>7343</v>
      </c>
      <c r="H19" s="820">
        <f t="shared" si="13"/>
        <v>0</v>
      </c>
      <c r="I19" s="822">
        <f t="shared" si="13"/>
        <v>0</v>
      </c>
      <c r="J19" s="822">
        <f t="shared" si="13"/>
        <v>0</v>
      </c>
      <c r="K19" s="881">
        <f t="shared" si="13"/>
        <v>0</v>
      </c>
      <c r="L19" s="822">
        <f t="shared" si="13"/>
        <v>1901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3899</v>
      </c>
      <c r="X19" s="821">
        <f t="shared" si="14"/>
        <v>1031</v>
      </c>
      <c r="Y19" s="828">
        <f t="shared" si="14"/>
        <v>4861</v>
      </c>
      <c r="Z19" s="828">
        <f t="shared" si="14"/>
        <v>0</v>
      </c>
      <c r="AA19" s="828">
        <f t="shared" si="14"/>
        <v>8261</v>
      </c>
      <c r="AB19" s="828">
        <f t="shared" si="14"/>
        <v>17217</v>
      </c>
      <c r="AC19" s="828">
        <f t="shared" si="14"/>
        <v>8745</v>
      </c>
      <c r="AD19" s="828">
        <f t="shared" si="14"/>
        <v>0</v>
      </c>
      <c r="AE19" s="830">
        <f t="shared" si="14"/>
        <v>0</v>
      </c>
      <c r="AF19" s="831">
        <f t="shared" si="14"/>
        <v>0</v>
      </c>
      <c r="AG19" s="832">
        <f t="shared" si="14"/>
        <v>0</v>
      </c>
      <c r="AH19" s="830">
        <f t="shared" si="14"/>
        <v>0</v>
      </c>
      <c r="AI19" s="820">
        <f t="shared" si="14"/>
        <v>1156</v>
      </c>
      <c r="AJ19" s="820">
        <f t="shared" si="14"/>
        <v>0</v>
      </c>
      <c r="AK19" s="830">
        <f t="shared" si="14"/>
        <v>0</v>
      </c>
      <c r="AL19" s="884">
        <f>IF(ISNUMBER(NºAsuntos!G19/NºAsuntos!E19),NºAsuntos!G19/NºAsuntos!E19," - ")</f>
        <v>0.88760350706283486</v>
      </c>
      <c r="AM19" s="885">
        <f>IF(ISNUMBER(((NºAsuntos!I19/NºAsuntos!G19)*11)/factor_trimestre),((NºAsuntos!I19/NºAsuntos!G19)*11)/factor_trimestre," - ")</f>
        <v>4.9512964741391139</v>
      </c>
      <c r="AN19" s="885">
        <f>IF(ISNUMBER('Resol  Asuntos'!D19/NºAsuntos!G19),'Resol  Asuntos'!D19/NºAsuntos!G19," - ")</f>
        <v>0.15859514336671698</v>
      </c>
      <c r="AO19" s="886">
        <f>IF(ISNUMBER((NºAsuntos!C19+NºAsuntos!E19)/NºAsuntos!G19),(NºAsuntos!C19+NºAsuntos!E19)/NºAsuntos!G19," - ")</f>
        <v>3.4838798189051996</v>
      </c>
      <c r="AP19" s="887" t="str">
        <f t="shared" si="2"/>
        <v xml:space="preserve"> - </v>
      </c>
      <c r="AQ19" s="888">
        <f>IF(OR(ISNUMBER(FIND("01",Criterios!A8,1)),ISNUMBER(FIND("02",Criterios!A8,1)),ISNUMBER(FIND("03",Criterios!A8,1)),ISNUMBER(FIND("04",Criterios!A8,1))),(I19-W19+K19)/(F19-K19),(H19-W19+K19)/(F19-K19))</f>
        <v>-0.55039525691699609</v>
      </c>
      <c r="AR19" s="889">
        <f>IF(ISNUMBER((Datos!P19-Datos!Q19)/(Datos!R19-Datos!P19+Datos!Q19)),(Datos!P19-Datos!Q19)/(Datos!R19-Datos!P19+Datos!Q19)," - ")</f>
        <v>5.3220774454028265E-2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3.844187531556932</v>
      </c>
      <c r="F21" s="252">
        <f>IF(ISNUMBER(STDEV(F8:F18)),STDEV(F8:F18),"-")</f>
        <v>3914.4348251056626</v>
      </c>
      <c r="G21" s="253">
        <f>IF(ISNUMBER(STDEV(G8:G18)),STDEV(G8:G18),"-")</f>
        <v>3759.243634030654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2003.997579838858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297.8510333962904</v>
      </c>
      <c r="AJ21" s="252">
        <f t="shared" si="18"/>
        <v>0</v>
      </c>
      <c r="AK21" s="254">
        <f t="shared" si="18"/>
        <v>0</v>
      </c>
      <c r="AL21" s="249">
        <f t="shared" si="18"/>
        <v>0.13963923351347185</v>
      </c>
      <c r="AM21" s="250">
        <f t="shared" si="18"/>
        <v>1.8406942017784</v>
      </c>
      <c r="AN21" s="250">
        <f t="shared" si="18"/>
        <v>5.2539562117860858E-2</v>
      </c>
      <c r="AO21" s="251">
        <f t="shared" si="18"/>
        <v>0.90896822565065072</v>
      </c>
      <c r="AP21" s="291" t="str">
        <f t="shared" si="18"/>
        <v>-</v>
      </c>
      <c r="AQ21" s="292">
        <f t="shared" si="18"/>
        <v>0.2028070596525072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sxNQy2CDQhx7vO40hdOhk5w46a6MifKTrmHYEP1JRKMc236oogpt42IfQvT1qo+FYNuc684DjHYDbwF8J/4pw==" saltValue="Eq4QMEiPTgwfKKePctsP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GRANOLLERS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0.13181019332161686</v>
      </c>
      <c r="I9" s="350">
        <f>IF(ISNUMBER((Tasas!C9-Datos!BE9)/Datos!BE9),(Tasas!C9-Datos!BE9)/Datos!BE9," - ")</f>
        <v>-8.0424522272170243E-2</v>
      </c>
      <c r="J9" s="349">
        <f>IF(ISNUMBER((Tasas!D9-Datos!BF9)/Datos!BF9),(Tasas!D9-Datos!BF9)/Datos!BF9," - ")</f>
        <v>-0.50979870532943161</v>
      </c>
      <c r="K9" s="351">
        <f>IF(ISNUMBER((Tasas!E9-Datos!BG9)/Datos!BG9),(Tasas!E9-Datos!BG9)/Datos!BG9," - ")</f>
        <v>-5.9953313430258122E-2</v>
      </c>
      <c r="M9" t="e">
        <f>IF(Monitorios="SI",Datos!CE9,0)</f>
        <v>#REF!</v>
      </c>
      <c r="N9" t="e">
        <f>IF(Monitorios="SI",Datos!CF9,0)</f>
        <v>#REF!</v>
      </c>
      <c r="O9" t="e">
        <f>IF(Monitorios="SI",Datos!CG9,0)</f>
        <v>#REF!</v>
      </c>
      <c r="P9" t="e">
        <f>IF(Monitorios="SI",Datos!CH9,0)</f>
        <v>#REF!</v>
      </c>
      <c r="Q9">
        <f>IF(J_V="SI",0,Datos!AG9)</f>
        <v>83</v>
      </c>
      <c r="R9">
        <f>IF(J_V="SI",0,Datos!AH9)</f>
        <v>104</v>
      </c>
      <c r="S9">
        <f>IF(J_V="SI",0,Datos!AI9)</f>
        <v>93</v>
      </c>
      <c r="T9">
        <f>IF(J_V="SI",0,Datos!AJ9)</f>
        <v>103</v>
      </c>
    </row>
    <row r="10" spans="2:20" ht="14.25">
      <c r="B10" s="275" t="s">
        <v>246</v>
      </c>
      <c r="C10" s="7" t="str">
        <f>Datos!A10</f>
        <v>Jdos. Violencia contra la mujer</v>
      </c>
      <c r="D10" s="352">
        <f>IF(ISNUMBER((Datos!I10-Datos!S10)/Datos!S10),(Datos!I10-Datos!S10)/Datos!S10," - ")</f>
        <v>1.4126984126984128</v>
      </c>
      <c r="E10" s="348">
        <f>IF(ISNUMBER((Datos!J10-Datos!T10)/Datos!T10),(Datos!J10-Datos!T10)/Datos!T10," - ")</f>
        <v>0.81081081081081086</v>
      </c>
      <c r="F10" s="348">
        <f>IF(ISNUMBER((Datos!K10-Datos!U10)/Datos!U10),(Datos!K10-Datos!U10)/Datos!U10," - ")</f>
        <v>0.86363636363636365</v>
      </c>
      <c r="G10" s="349">
        <f>IF(ISNUMBER((Datos!L10-Datos!V10)/Datos!V10),(Datos!L10-Datos!V10)/Datos!V10," - ")</f>
        <v>1.2820512820512822</v>
      </c>
      <c r="H10" s="230">
        <f>IF(ISNUMBER((Datos!M10-Datos!W10)/Datos!W10),(Datos!M10-Datos!W10)/Datos!W10," - ")</f>
        <v>-0.45454545454545453</v>
      </c>
      <c r="I10" s="350">
        <f>IF(ISNUMBER((Tasas!C10-Datos!BE10)/Datos!BE10),(Tasas!C10-Datos!BE10)/Datos!BE10," - ")</f>
        <v>0.22451532207629779</v>
      </c>
      <c r="J10" s="349">
        <f>IF(ISNUMBER((Tasas!D10-Datos!BF10)/Datos!BF10),(Tasas!D10-Datos!BF10)/Datos!BF10," - ")</f>
        <v>-0.70731707317073167</v>
      </c>
      <c r="K10" s="351">
        <f>IF(ISNUMBER((Tasas!E10-Datos!BG10)/Datos!BG10),(Tasas!E10-Datos!BG10)/Datos!BG10," - ")</f>
        <v>0.17512195121951216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0.38356164383561642</v>
      </c>
      <c r="I11" s="350">
        <f>IF(ISNUMBER((Tasas!C11-Datos!BE11)/Datos!BE11),(Tasas!C11-Datos!BE11)/Datos!BE11," - ")</f>
        <v>-0.12730412844339653</v>
      </c>
      <c r="J11" s="349">
        <f>IF(ISNUMBER((Tasas!D11-Datos!BF11)/Datos!BF11),(Tasas!D11-Datos!BF11)/Datos!BF11," - ")</f>
        <v>-0.61465356974388852</v>
      </c>
      <c r="K11" s="351">
        <f>IF(ISNUMBER((Tasas!E11-Datos!BG11)/Datos!BG11),(Tasas!E11-Datos!BG11)/Datos!BG11," - ")</f>
        <v>-3.7776803933115194E-2</v>
      </c>
      <c r="M11" t="e">
        <f>IF(Monitorios="SI",Datos!CE11,0)</f>
        <v>#REF!</v>
      </c>
      <c r="N11" t="e">
        <f>IF(Monitorios="SI",Datos!CF11,0)</f>
        <v>#REF!</v>
      </c>
      <c r="O11" t="e">
        <f>IF(Monitorios="SI",Datos!CG11,0)</f>
        <v>#REF!</v>
      </c>
      <c r="P11" t="e">
        <f>IF(Monitorios="SI",Datos!CH11,0)</f>
        <v>#REF!</v>
      </c>
      <c r="Q11">
        <f>IF(J_V="SI",0,Datos!AG11)</f>
        <v>155</v>
      </c>
      <c r="R11">
        <f>IF(J_V="SI",0,Datos!AH11)</f>
        <v>121</v>
      </c>
      <c r="S11">
        <f>IF(J_V="SI",0,Datos!AI11)</f>
        <v>215</v>
      </c>
      <c r="T11">
        <f>IF(J_V="SI",0,Datos!AJ11)</f>
        <v>61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0.15007656967840735</v>
      </c>
      <c r="I13" s="357">
        <f>IF(ISNUMBER((Tasas!C13-Datos!BE13)/Datos!BE13),(Tasas!C13-Datos!BE13)/Datos!BE13," - ")</f>
        <v>-7.3980404734027186E-2</v>
      </c>
      <c r="J13" s="355">
        <f>IF(ISNUMBER((Tasas!D13-Datos!BF13)/Datos!BF13),(Tasas!D13-Datos!BF13)/Datos!BF13," - ")</f>
        <v>-0.53101748817452121</v>
      </c>
      <c r="K13" s="358">
        <f>IF(ISNUMBER((Tasas!E13-Datos!BG13)/Datos!BG13),(Tasas!E13-Datos!BG13)/Datos!BG13," - ")</f>
        <v>-4.8867358684171844E-2</v>
      </c>
      <c r="M13" t="e">
        <f>IF(Monitorios="SI",Datos!CE13,0)</f>
        <v>#REF!</v>
      </c>
      <c r="N13" t="e">
        <f>IF(Monitorios="SI",Datos!CF13,0)</f>
        <v>#REF!</v>
      </c>
      <c r="O13" t="e">
        <f>IF(Monitorios="SI",Datos!CG13,0)</f>
        <v>#REF!</v>
      </c>
      <c r="P13" t="e">
        <f>IF(Monitorios="SI",Datos!CH13,0)</f>
        <v>#REF!</v>
      </c>
      <c r="Q13">
        <f>IF(J_V="SI",0,Datos!AG13)</f>
        <v>238</v>
      </c>
      <c r="R13">
        <f>IF(J_V="SI",0,Datos!AH13)</f>
        <v>225</v>
      </c>
      <c r="S13">
        <f>IF(J_V="SI",0,Datos!AI13)</f>
        <v>308</v>
      </c>
      <c r="T13">
        <f>IF(J_V="SI",0,Datos!AJ13)</f>
        <v>164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7.3913043478260873E-2</v>
      </c>
      <c r="E15" s="348">
        <f>IF(ISNUMBER(
   IF(D_I="SI",(Datos!J15-Datos!T15)/Datos!T15,(Datos!J15+Datos!AD15-(Datos!T15+Datos!AL15))/(Datos!T15+Datos!AL15))
     ),IF(D_I="SI",(Datos!J15-Datos!T15)/Datos!T15,(Datos!J15+Datos!AD15-(Datos!T15+Datos!AL15))/(Datos!T15+Datos!AL15))," - ")</f>
        <v>0.16191472665445986</v>
      </c>
      <c r="F15" s="348">
        <f>IF(ISNUMBER(
   IF(D_I="SI",(Datos!K15-Datos!U15)/Datos!U15,(Datos!K15+Datos!AE15-(Datos!U15+Datos!AM15))/(Datos!U15+Datos!AM15))
     ),IF(D_I="SI",(Datos!K15-Datos!U15)/Datos!U15,(Datos!K15+Datos!AE15-(Datos!U15+Datos!AM15))/(Datos!U15+Datos!AM15))," - ")</f>
        <v>2.474566950783613E-3</v>
      </c>
      <c r="G15" s="349">
        <f>IF(ISNUMBER(
   IF(D_I="SI",(Datos!L15-Datos!V15)/Datos!V15,(Datos!L15+Datos!AF15-(Datos!V15+Datos!AN15))/(Datos!V15+Datos!AN15))
     ),IF(D_I="SI",(Datos!L15-Datos!V15)/Datos!V15,(Datos!L15+Datos!AF15-(Datos!V15+Datos!AN15))/(Datos!V15+Datos!AN15))," - ")</f>
        <v>0.16403072751920469</v>
      </c>
      <c r="H15" s="230">
        <f>IF(ISNUMBER((Datos!M15-Datos!W15)/Datos!W15),(Datos!M15-Datos!W15)/Datos!W15," - ")</f>
        <v>0.1023391812865497</v>
      </c>
      <c r="I15" s="350">
        <f>IF(ISNUMBER((Tasas!C15-Datos!BE15)/Datos!BE15),(Tasas!C15-Datos!BE15)/Datos!BE15," - ")</f>
        <v>0.16115736587694671</v>
      </c>
      <c r="J15" s="349">
        <f>IF(ISNUMBER((Tasas!D15-Datos!BF15)/Datos!BF15),(Tasas!D15-Datos!BF15)/Datos!BF15," - ")</f>
        <v>9.961810267119621E-2</v>
      </c>
      <c r="K15" s="351">
        <f>IF(ISNUMBER((Tasas!E15-Datos!BG15)/Datos!BG15),(Tasas!E15-Datos!BG15)/Datos!BG15," - ")</f>
        <v>0.10396212095823877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1.925531914893617</v>
      </c>
      <c r="E17" s="348">
        <f>IF(ISNUMBER(
   IF(D_I="SI",(Datos!J17-Datos!T17)/Datos!T17,(Datos!J17+Datos!AD17-(Datos!T17+Datos!AL17))/(Datos!T17+Datos!AL17))
     ),IF(D_I="SI",(Datos!J17-Datos!T17)/Datos!T17,(Datos!J17+Datos!AD17-(Datos!T17+Datos!AL17))/(Datos!T17+Datos!AL17))," - ")</f>
        <v>-0.12195121951219512</v>
      </c>
      <c r="F17" s="348">
        <f>IF(ISNUMBER(
   IF(D_I="SI",(Datos!K17-Datos!U17)/Datos!U17,(Datos!K17+Datos!AE17-(Datos!U17+Datos!AM17))/(Datos!U17+Datos!AM17))
     ),IF(D_I="SI",(Datos!K17-Datos!U17)/Datos!U17,(Datos!K17+Datos!AE17-(Datos!U17+Datos!AM17))/(Datos!U17+Datos!AM17))," - ")</f>
        <v>-0.27147766323024053</v>
      </c>
      <c r="G17" s="349">
        <f>IF(ISNUMBER(
   IF(D_I="SI",(Datos!L17-Datos!V17)/Datos!V17,(Datos!L17+Datos!AF17-(Datos!V17+Datos!AN17))/(Datos!V17+Datos!AN17))
     ),IF(D_I="SI",(Datos!L17-Datos!V17)/Datos!V17,(Datos!L17+Datos!AF17-(Datos!V17+Datos!AN17))/(Datos!V17+Datos!AN17))," - ")</f>
        <v>1.7099236641221374</v>
      </c>
      <c r="H17" s="230">
        <f>IF(ISNUMBER((Datos!M17-Datos!W17)/Datos!W17),(Datos!M17-Datos!W17)/Datos!W17," - ")</f>
        <v>0.27272727272727271</v>
      </c>
      <c r="I17" s="350">
        <f>IF(ISNUMBER((Tasas!C17-Datos!BE17)/Datos!BE17),(Tasas!C17-Datos!BE17)/Datos!BE17," - ")</f>
        <v>2.7197537087714245</v>
      </c>
      <c r="J17" s="349">
        <f>IF(ISNUMBER((Tasas!D17-Datos!BF17)/Datos!BF17),(Tasas!D17-Datos!BF17)/Datos!BF17," - ")</f>
        <v>0.74699828473413388</v>
      </c>
      <c r="K17" s="351">
        <f>IF(ISNUMBER((Tasas!E17-Datos!BG17)/Datos!BG17),(Tasas!E17-Datos!BG17)/Datos!BG17," - ")</f>
        <v>0.83127291424483585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0.10055096418732783</v>
      </c>
      <c r="E18" s="354">
        <f>IF(ISNUMBER(
   IF(D_I="SI",(Datos!J18-Datos!T18)/Datos!T18,(Datos!J18+Datos!AD18-(Datos!T18+Datos!AL18))/(Datos!T18+Datos!AL18))
     ),IF(D_I="SI",(Datos!J18-Datos!T18)/Datos!T18,(Datos!J18+Datos!AD18-(Datos!T18+Datos!AL18))/(Datos!T18+Datos!AL18))," - ")</f>
        <v>0.13948446157552397</v>
      </c>
      <c r="F18" s="354">
        <f>IF(ISNUMBER(
   IF(D_I="SI",(Datos!K18-Datos!U18)/Datos!U18,(Datos!K18+Datos!AE18-(Datos!U18+Datos!AM18))/(Datos!U18+Datos!AM18))
     ),IF(D_I="SI",(Datos!K18-Datos!U18)/Datos!U18,(Datos!K18+Datos!AE18-(Datos!U18+Datos!AM18))/(Datos!U18+Datos!AM18))," - ")</f>
        <v>-1.7820773930753563E-2</v>
      </c>
      <c r="G18" s="355">
        <f>IF(ISNUMBER(
   IF(D_I="SI",(Datos!L18-Datos!V18)/Datos!V18,(Datos!L18+Datos!AF18-(Datos!V18+Datos!AN18))/(Datos!V18+Datos!AN18))
     ),IF(D_I="SI",(Datos!L18-Datos!V18)/Datos!V18,(Datos!L18+Datos!AF18-(Datos!V18+Datos!AN18))/(Datos!V18+Datos!AN18))," - ")</f>
        <v>0.19394387001477104</v>
      </c>
      <c r="H18" s="356">
        <f>IF(ISNUMBER((Datos!M18-Datos!W18)/Datos!W18),(Datos!M18-Datos!W18)/Datos!W18," - ")</f>
        <v>0.11263736263736264</v>
      </c>
      <c r="I18" s="357">
        <f>IF(ISNUMBER((Tasas!C18-Datos!BE18)/Datos!BE18),(Tasas!C18-Datos!BE18)/Datos!BE18," - ")</f>
        <v>0.21560692623587893</v>
      </c>
      <c r="J18" s="355">
        <f>IF(ISNUMBER((Tasas!D18-Datos!BF18)/Datos!BF18),(Tasas!D18-Datos!BF18)/Datos!BF18," - ")</f>
        <v>0.13282518414711267</v>
      </c>
      <c r="K18" s="358">
        <f>IF(ISNUMBER((Tasas!E18-Datos!BG18)/Datos!BG18),(Tasas!E18-Datos!BG18)/Datos!BG18," - ")</f>
        <v>0.135919139756149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4.9410615036951079E-2</v>
      </c>
      <c r="E19" s="363">
        <f>IF(ISNUMBER(
   IF(J_V="SI",(Datos!J19-Datos!T19)/Datos!T19,(Datos!J19+Datos!Z19-(Datos!T19+Datos!AH19))/(Datos!T19+Datos!AH19))
     ),IF(J_V="SI",(Datos!J19-Datos!T19)/Datos!T19,(Datos!J19+Datos!Z19-(Datos!T19+Datos!AH19))/(Datos!T19+Datos!AH19))," - ")</f>
        <v>1.5708101422387138E-2</v>
      </c>
      <c r="F19" s="363">
        <f>IF(ISNUMBER(
   IF(J_V="SI",(Datos!K19-Datos!U19)/Datos!U19,(Datos!K19+Datos!AA19-(Datos!U19+Datos!AI19))/(Datos!U19+Datos!AI19))
     ),IF(J_V="SI",(Datos!K19-Datos!U19)/Datos!U19,(Datos!K19+Datos!AA19-(Datos!U19+Datos!AI19))/(Datos!U19+Datos!AI19))," - ")</f>
        <v>3.4416299559471364E-3</v>
      </c>
      <c r="G19" s="364">
        <f>IF(ISNUMBER(
   IF(J_V="SI",(Datos!L19-Datos!V19)/Datos!V19,(Datos!L19+Datos!AB19-(Datos!V19+Datos!AJ19))/(Datos!V19+Datos!AJ19))
     ),IF(J_V="SI",(Datos!L19-Datos!V19)/Datos!V19,(Datos!L19+Datos!AB19-(Datos!V19+Datos!AJ19))/(Datos!V19+Datos!AJ19))," - ")</f>
        <v>4.7301218804410912E-2</v>
      </c>
      <c r="H19" s="365">
        <f>IF(ISNUMBER((Datos!M19-Datos!W19)/Datos!W19),(Datos!M19-Datos!W19)/Datos!W19," - ")</f>
        <v>0.13667649950835792</v>
      </c>
      <c r="I19" s="362">
        <f>IF(ISNUMBER((Tasas!C19-Datos!BE19)/Datos!BE19),(Tasas!C19-Datos!BE19)/Datos!BE19," - ")</f>
        <v>4.3709158100595509E-2</v>
      </c>
      <c r="J19" s="363">
        <f>IF(ISNUMBER((Tasas!D19-Datos!BF19)/Datos!BF19),(Tasas!D19-Datos!BF19)/Datos!BF19," - ")</f>
        <v>-0.40029405444256522</v>
      </c>
      <c r="K19" s="364">
        <f>IF(ISNUMBER((Tasas!E19-Datos!BG19)/Datos!BG19),(Tasas!E19-Datos!BG19)/Datos!BG19," - ")</f>
        <v>3.4708602687356718E-2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0.93705357756319974</v>
      </c>
      <c r="E21" s="278">
        <f t="shared" si="1"/>
        <v>0.39699095371239485</v>
      </c>
      <c r="F21" s="278">
        <f t="shared" si="1"/>
        <v>0.49555135305702819</v>
      </c>
      <c r="G21" s="279">
        <f t="shared" si="1"/>
        <v>0.7802722270410184</v>
      </c>
      <c r="H21" s="285">
        <f t="shared" si="1"/>
        <v>0.26503050968710784</v>
      </c>
      <c r="I21" s="277">
        <f t="shared" si="1"/>
        <v>1.0188581222705819</v>
      </c>
      <c r="J21" s="278">
        <f t="shared" si="1"/>
        <v>0.53730279283505045</v>
      </c>
      <c r="K21" s="279">
        <f t="shared" si="1"/>
        <v>0.31241474421493964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EqJn+ll7HHRG926lwAA2JggIhbZ0eDVkuRG0dkl9tklKmrRgCJ9S8YZKrl4EDqLZOqakUhMvNz3kjbCtuoRZA==" saltValue="11kIUxahnfQC1n4rQMfk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